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Rewitalizacja - budynek 4 PJPII\PRZETARG-budowa\odpowiedzi na pytania\"/>
    </mc:Choice>
  </mc:AlternateContent>
  <bookViews>
    <workbookView xWindow="0" yWindow="0" windowWidth="20730" windowHeight="9345"/>
  </bookViews>
  <sheets>
    <sheet name="Podsumowanie kosztow" sheetId="5" r:id="rId1"/>
    <sheet name="Termomodernizacja" sheetId="6" r:id="rId2"/>
    <sheet name="Przebudowa" sheetId="9" r:id="rId3"/>
    <sheet name="zagospodarowanie" sheetId="14" r:id="rId4"/>
  </sheets>
  <definedNames>
    <definedName name="_xlnm.Print_Area" localSheetId="0">'Podsumowanie kosztow'!$A$1:$E$43</definedName>
    <definedName name="_xlnm.Print_Area" localSheetId="2">Przebudowa!$A$1:$G$870</definedName>
    <definedName name="_xlnm.Print_Area" localSheetId="1">Termomodernizacja!$A$1:$G$254</definedName>
  </definedNames>
  <calcPr calcId="152511"/>
</workbook>
</file>

<file path=xl/calcChain.xml><?xml version="1.0" encoding="utf-8"?>
<calcChain xmlns="http://schemas.openxmlformats.org/spreadsheetml/2006/main">
  <c r="E85" i="9" l="1"/>
  <c r="G308" i="9"/>
  <c r="G311" i="9"/>
  <c r="G312" i="9"/>
  <c r="G313" i="9"/>
  <c r="G314" i="9"/>
  <c r="G282" i="9"/>
  <c r="G283" i="9"/>
  <c r="G285" i="9"/>
  <c r="G265" i="9"/>
  <c r="G254" i="9"/>
  <c r="G237" i="9"/>
  <c r="G238" i="9"/>
  <c r="G239" i="9"/>
  <c r="G241" i="9"/>
  <c r="G242" i="9"/>
  <c r="G243" i="9"/>
  <c r="G244" i="9"/>
  <c r="G245" i="9"/>
  <c r="G246" i="9"/>
  <c r="G226" i="9"/>
  <c r="G227" i="9"/>
  <c r="G228" i="9"/>
  <c r="G230" i="9"/>
  <c r="G216" i="9"/>
  <c r="G217" i="9"/>
  <c r="G218" i="9"/>
  <c r="G221" i="9"/>
  <c r="G205" i="9"/>
  <c r="G212" i="9"/>
  <c r="G141" i="9"/>
  <c r="G142" i="9"/>
  <c r="G143" i="9"/>
  <c r="G144" i="9"/>
  <c r="E127" i="9"/>
  <c r="E103" i="9"/>
  <c r="E93" i="9"/>
  <c r="G45" i="9"/>
  <c r="G50" i="9"/>
  <c r="G53" i="9"/>
  <c r="G62" i="9"/>
  <c r="G63" i="9"/>
  <c r="G64" i="9"/>
  <c r="G69" i="9"/>
  <c r="G70" i="9"/>
  <c r="G72" i="9"/>
  <c r="G73" i="9"/>
  <c r="G74" i="9"/>
  <c r="G75" i="9"/>
  <c r="G76" i="9"/>
  <c r="G77" i="9"/>
  <c r="G78" i="9"/>
  <c r="G79" i="9"/>
  <c r="G86" i="9"/>
  <c r="G339" i="9"/>
  <c r="G342" i="9"/>
  <c r="G343" i="9"/>
  <c r="G344" i="9"/>
  <c r="G345" i="9"/>
  <c r="G346" i="9"/>
  <c r="G348" i="9"/>
  <c r="G154" i="9"/>
  <c r="G161" i="9"/>
  <c r="G4" i="9"/>
  <c r="G5" i="9"/>
  <c r="G6" i="9"/>
  <c r="E292" i="9" l="1"/>
  <c r="G292" i="9" s="1"/>
  <c r="E325" i="9"/>
  <c r="G325" i="9" s="1"/>
  <c r="E315" i="9"/>
  <c r="G315" i="9" s="1"/>
  <c r="E20" i="6"/>
  <c r="E41" i="6"/>
  <c r="E58" i="6"/>
  <c r="E220" i="9"/>
  <c r="G220" i="9" s="1"/>
  <c r="E169" i="9"/>
  <c r="E57" i="6"/>
  <c r="E454" i="9"/>
  <c r="E453" i="9"/>
  <c r="E444" i="9"/>
  <c r="E445" i="9"/>
  <c r="E461" i="9"/>
  <c r="E460" i="9"/>
  <c r="E459" i="9"/>
  <c r="E458" i="9"/>
  <c r="E457" i="9"/>
  <c r="E456" i="9"/>
  <c r="E260" i="9" l="1"/>
  <c r="G260" i="9" s="1"/>
  <c r="E250" i="9"/>
  <c r="G250" i="9" s="1"/>
  <c r="E249" i="9"/>
  <c r="G249" i="9" s="1"/>
  <c r="E200" i="9"/>
  <c r="G200" i="9" s="1"/>
  <c r="E199" i="9"/>
  <c r="G199" i="9" s="1"/>
  <c r="E201" i="9"/>
  <c r="G201" i="9" s="1"/>
  <c r="E150" i="9"/>
  <c r="G150" i="9" s="1"/>
  <c r="E149" i="9"/>
  <c r="G149" i="9" s="1"/>
  <c r="E148" i="9"/>
  <c r="E317" i="9"/>
  <c r="G317" i="9" s="1"/>
  <c r="E328" i="9"/>
  <c r="G328" i="9" s="1"/>
  <c r="E336" i="9"/>
  <c r="G336" i="9" s="1"/>
  <c r="E326" i="9"/>
  <c r="E324" i="9"/>
  <c r="E323" i="9"/>
  <c r="E309" i="9"/>
  <c r="G309" i="9" s="1"/>
  <c r="E305" i="9"/>
  <c r="G305" i="9" s="1"/>
  <c r="E303" i="9"/>
  <c r="E307" i="9"/>
  <c r="G307" i="9" s="1"/>
  <c r="E306" i="9"/>
  <c r="G306" i="9" s="1"/>
  <c r="E102" i="9"/>
  <c r="E108" i="9"/>
  <c r="E109" i="9"/>
  <c r="E106" i="9"/>
  <c r="G85" i="9"/>
  <c r="G648" i="9"/>
  <c r="G647" i="9" s="1"/>
  <c r="G3" i="9"/>
  <c r="G2" i="9" s="1"/>
  <c r="E327" i="9" l="1"/>
  <c r="G327" i="9" s="1"/>
  <c r="G326" i="9"/>
  <c r="E248" i="9"/>
  <c r="E147" i="9"/>
  <c r="E198" i="9"/>
  <c r="E332" i="9"/>
  <c r="E333" i="9" s="1"/>
  <c r="E334" i="9" s="1"/>
  <c r="E329" i="9"/>
  <c r="G329" i="9" s="1"/>
  <c r="G148" i="9"/>
  <c r="E65" i="9"/>
  <c r="G65" i="9" s="1"/>
  <c r="G167" i="9" l="1"/>
  <c r="G763" i="9" l="1"/>
  <c r="G764" i="9"/>
  <c r="G765" i="9"/>
  <c r="G766" i="9"/>
  <c r="G767" i="9"/>
  <c r="G768" i="9"/>
  <c r="G769" i="9"/>
  <c r="G770" i="9"/>
  <c r="G771" i="9"/>
  <c r="G772" i="9"/>
  <c r="G773" i="9"/>
  <c r="G774" i="9"/>
  <c r="G451" i="9" l="1"/>
  <c r="G434" i="9"/>
  <c r="G414" i="9"/>
  <c r="G762" i="9"/>
  <c r="G761" i="9"/>
  <c r="G760" i="9"/>
  <c r="G74" i="14" l="1"/>
  <c r="E48" i="14" l="1"/>
  <c r="G48" i="14" s="1"/>
  <c r="E47" i="14"/>
  <c r="G47" i="14" s="1"/>
  <c r="G46" i="14"/>
  <c r="E45" i="14"/>
  <c r="G45" i="14" s="1"/>
  <c r="E44" i="14"/>
  <c r="G44" i="14" s="1"/>
  <c r="E43" i="14"/>
  <c r="G43" i="14" s="1"/>
  <c r="G42" i="14"/>
  <c r="E41" i="14"/>
  <c r="G41" i="14" s="1"/>
  <c r="G40" i="14"/>
  <c r="G39" i="14"/>
  <c r="G38" i="14"/>
  <c r="G37" i="14"/>
  <c r="E36" i="14"/>
  <c r="G36" i="14" s="1"/>
  <c r="E35" i="14"/>
  <c r="G35" i="14" s="1"/>
  <c r="E34" i="14"/>
  <c r="G34" i="14" s="1"/>
  <c r="E33" i="14"/>
  <c r="G33" i="14" s="1"/>
  <c r="E32" i="14"/>
  <c r="G32" i="14" s="1"/>
  <c r="E31" i="14"/>
  <c r="G31" i="14" s="1"/>
  <c r="G30" i="14"/>
  <c r="E29" i="14"/>
  <c r="G29" i="14" s="1"/>
  <c r="G27" i="14"/>
  <c r="G26" i="14"/>
  <c r="E25" i="14"/>
  <c r="G25" i="14" s="1"/>
  <c r="E24" i="14"/>
  <c r="G24" i="14" s="1"/>
  <c r="E23" i="14"/>
  <c r="G23" i="14" s="1"/>
  <c r="E22" i="14"/>
  <c r="G22" i="14" s="1"/>
  <c r="E21" i="14"/>
  <c r="G21" i="14" s="1"/>
  <c r="E20" i="14"/>
  <c r="G20" i="14" s="1"/>
  <c r="E19" i="14"/>
  <c r="G19" i="14" s="1"/>
  <c r="E18" i="14"/>
  <c r="G18" i="14" s="1"/>
  <c r="E16" i="14"/>
  <c r="G16" i="14" s="1"/>
  <c r="E15" i="14"/>
  <c r="G15" i="14" s="1"/>
  <c r="E14" i="14"/>
  <c r="G14" i="14" s="1"/>
  <c r="E13" i="14"/>
  <c r="G13" i="14" s="1"/>
  <c r="E12" i="14"/>
  <c r="G12" i="14" s="1"/>
  <c r="G11" i="14"/>
  <c r="G10" i="14"/>
  <c r="E9" i="14"/>
  <c r="G9" i="14" s="1"/>
  <c r="E8" i="14"/>
  <c r="G8" i="14" s="1"/>
  <c r="E7" i="14"/>
  <c r="G7" i="14" s="1"/>
  <c r="E6" i="14"/>
  <c r="G6" i="14" s="1"/>
  <c r="E5" i="14"/>
  <c r="G5" i="14" s="1"/>
  <c r="E4" i="14"/>
  <c r="G4" i="14" s="1"/>
  <c r="G863" i="9"/>
  <c r="G862" i="9"/>
  <c r="G861" i="9"/>
  <c r="G860" i="9"/>
  <c r="G859" i="9"/>
  <c r="G858" i="9"/>
  <c r="G857" i="9"/>
  <c r="G856" i="9"/>
  <c r="G855" i="9"/>
  <c r="G854" i="9"/>
  <c r="G853" i="9"/>
  <c r="G852" i="9"/>
  <c r="G851" i="9"/>
  <c r="G850" i="9"/>
  <c r="G849" i="9"/>
  <c r="G847" i="9"/>
  <c r="G846" i="9"/>
  <c r="G845" i="9"/>
  <c r="G844" i="9"/>
  <c r="G843" i="9"/>
  <c r="G842" i="9"/>
  <c r="G841" i="9"/>
  <c r="G840" i="9"/>
  <c r="G839" i="9"/>
  <c r="G838" i="9"/>
  <c r="G836" i="9"/>
  <c r="G835" i="9"/>
  <c r="E834" i="9"/>
  <c r="G834" i="9" s="1"/>
  <c r="G833" i="9"/>
  <c r="G832" i="9"/>
  <c r="G831" i="9"/>
  <c r="G830" i="9"/>
  <c r="G829" i="9"/>
  <c r="G827" i="9"/>
  <c r="G826" i="9"/>
  <c r="G825" i="9"/>
  <c r="G824" i="9"/>
  <c r="E823" i="9"/>
  <c r="G823" i="9" s="1"/>
  <c r="G821" i="9"/>
  <c r="G820" i="9"/>
  <c r="G819" i="9"/>
  <c r="G818" i="9"/>
  <c r="G817" i="9"/>
  <c r="G816" i="9"/>
  <c r="G815" i="9"/>
  <c r="G814" i="9"/>
  <c r="G813" i="9"/>
  <c r="G812" i="9"/>
  <c r="G811" i="9"/>
  <c r="G810" i="9"/>
  <c r="G809" i="9"/>
  <c r="G807" i="9"/>
  <c r="G806" i="9"/>
  <c r="G805" i="9"/>
  <c r="G804" i="9"/>
  <c r="G803" i="9"/>
  <c r="G802" i="9"/>
  <c r="G801" i="9"/>
  <c r="G800" i="9"/>
  <c r="G799" i="9"/>
  <c r="G798" i="9"/>
  <c r="G797" i="9"/>
  <c r="G796" i="9"/>
  <c r="G795" i="9"/>
  <c r="G794" i="9"/>
  <c r="G793" i="9"/>
  <c r="G792" i="9"/>
  <c r="G791" i="9"/>
  <c r="G790" i="9"/>
  <c r="G789" i="9"/>
  <c r="G788" i="9"/>
  <c r="E786" i="9"/>
  <c r="G786" i="9" s="1"/>
  <c r="G785" i="9"/>
  <c r="G784" i="9"/>
  <c r="G783" i="9"/>
  <c r="G782" i="9"/>
  <c r="G781" i="9"/>
  <c r="G780" i="9"/>
  <c r="G779" i="9"/>
  <c r="G778" i="9"/>
  <c r="G777" i="9"/>
  <c r="G776" i="9"/>
  <c r="G759" i="9"/>
  <c r="G758" i="9"/>
  <c r="G757" i="9"/>
  <c r="G756" i="9"/>
  <c r="G755" i="9"/>
  <c r="G754" i="9"/>
  <c r="G753" i="9"/>
  <c r="G752" i="9"/>
  <c r="G750" i="9"/>
  <c r="G749" i="9"/>
  <c r="G748" i="9"/>
  <c r="G747" i="9"/>
  <c r="G746" i="9"/>
  <c r="G745" i="9"/>
  <c r="G744" i="9"/>
  <c r="G743" i="9"/>
  <c r="G742" i="9"/>
  <c r="G741" i="9"/>
  <c r="G739" i="9"/>
  <c r="G738" i="9"/>
  <c r="G737" i="9"/>
  <c r="E736" i="9"/>
  <c r="G736" i="9" s="1"/>
  <c r="G735" i="9"/>
  <c r="G734" i="9"/>
  <c r="G732" i="9"/>
  <c r="G731" i="9"/>
  <c r="G730" i="9"/>
  <c r="E728" i="9"/>
  <c r="G728" i="9" s="1"/>
  <c r="G727" i="9"/>
  <c r="G726" i="9"/>
  <c r="G724" i="9"/>
  <c r="G723" i="9"/>
  <c r="G722" i="9"/>
  <c r="G721" i="9"/>
  <c r="G718" i="9"/>
  <c r="G717" i="9"/>
  <c r="G716" i="9"/>
  <c r="G715" i="9"/>
  <c r="G714" i="9"/>
  <c r="G713" i="9"/>
  <c r="G712" i="9"/>
  <c r="G711" i="9"/>
  <c r="G710" i="9"/>
  <c r="G708" i="9"/>
  <c r="G707" i="9"/>
  <c r="G706" i="9"/>
  <c r="G705" i="9"/>
  <c r="G704" i="9"/>
  <c r="G703" i="9"/>
  <c r="E702" i="9"/>
  <c r="G702" i="9" s="1"/>
  <c r="E701" i="9"/>
  <c r="G701" i="9" s="1"/>
  <c r="G700" i="9"/>
  <c r="G699" i="9"/>
  <c r="G698" i="9"/>
  <c r="E697" i="9"/>
  <c r="G697" i="9" s="1"/>
  <c r="E696" i="9"/>
  <c r="G696" i="9" s="1"/>
  <c r="G694" i="9"/>
  <c r="G693" i="9"/>
  <c r="G692" i="9"/>
  <c r="G691" i="9"/>
  <c r="G690" i="9"/>
  <c r="G689" i="9"/>
  <c r="G687" i="9"/>
  <c r="G686" i="9"/>
  <c r="G685" i="9"/>
  <c r="G684" i="9"/>
  <c r="G683" i="9"/>
  <c r="G682" i="9"/>
  <c r="G681" i="9"/>
  <c r="G680" i="9"/>
  <c r="G679" i="9"/>
  <c r="G678" i="9"/>
  <c r="G677" i="9"/>
  <c r="G676" i="9"/>
  <c r="G675" i="9"/>
  <c r="G673" i="9"/>
  <c r="G672" i="9"/>
  <c r="G671" i="9"/>
  <c r="G670" i="9"/>
  <c r="G669" i="9"/>
  <c r="G668" i="9"/>
  <c r="G667" i="9"/>
  <c r="G666" i="9"/>
  <c r="G665" i="9"/>
  <c r="G664" i="9"/>
  <c r="G663" i="9"/>
  <c r="G662" i="9"/>
  <c r="G661" i="9"/>
  <c r="G660" i="9"/>
  <c r="G659" i="9"/>
  <c r="G658" i="9"/>
  <c r="E657" i="9"/>
  <c r="G657" i="9" s="1"/>
  <c r="G656" i="9"/>
  <c r="G655" i="9"/>
  <c r="G654" i="9"/>
  <c r="G653" i="9"/>
  <c r="G652" i="9"/>
  <c r="G651" i="9"/>
  <c r="G650" i="9"/>
  <c r="E645" i="9"/>
  <c r="G645" i="9" s="1"/>
  <c r="E644" i="9"/>
  <c r="G644" i="9" s="1"/>
  <c r="E643" i="9"/>
  <c r="G643" i="9" s="1"/>
  <c r="E642" i="9"/>
  <c r="G642" i="9" s="1"/>
  <c r="E641" i="9"/>
  <c r="G641" i="9" s="1"/>
  <c r="E640" i="9"/>
  <c r="G640" i="9" s="1"/>
  <c r="E639" i="9"/>
  <c r="G639" i="9" s="1"/>
  <c r="E638" i="9"/>
  <c r="G638" i="9" s="1"/>
  <c r="E637" i="9"/>
  <c r="G637" i="9" s="1"/>
  <c r="E636" i="9"/>
  <c r="G636" i="9" s="1"/>
  <c r="E635" i="9"/>
  <c r="G635" i="9" s="1"/>
  <c r="G633" i="9"/>
  <c r="G632" i="9"/>
  <c r="G631" i="9"/>
  <c r="G630" i="9"/>
  <c r="G629" i="9"/>
  <c r="G628" i="9"/>
  <c r="G627" i="9"/>
  <c r="G626" i="9"/>
  <c r="G625" i="9"/>
  <c r="G624" i="9"/>
  <c r="G623" i="9"/>
  <c r="G622" i="9"/>
  <c r="E621" i="9"/>
  <c r="G621" i="9" s="1"/>
  <c r="G620" i="9"/>
  <c r="E619" i="9"/>
  <c r="G619" i="9" s="1"/>
  <c r="E617" i="9"/>
  <c r="G617" i="9" s="1"/>
  <c r="E616" i="9"/>
  <c r="G616" i="9" s="1"/>
  <c r="E615" i="9"/>
  <c r="G615" i="9" s="1"/>
  <c r="E614" i="9"/>
  <c r="G614" i="9" s="1"/>
  <c r="E613" i="9"/>
  <c r="G613" i="9" s="1"/>
  <c r="E611" i="9"/>
  <c r="G611" i="9" s="1"/>
  <c r="E610" i="9"/>
  <c r="G610" i="9" s="1"/>
  <c r="E609" i="9"/>
  <c r="G609" i="9" s="1"/>
  <c r="E608" i="9"/>
  <c r="G608" i="9" s="1"/>
  <c r="E607" i="9"/>
  <c r="G607" i="9" s="1"/>
  <c r="E606" i="9"/>
  <c r="G606" i="9" s="1"/>
  <c r="E605" i="9"/>
  <c r="G605" i="9" s="1"/>
  <c r="E604" i="9"/>
  <c r="G604" i="9" s="1"/>
  <c r="E603" i="9"/>
  <c r="G603" i="9" s="1"/>
  <c r="E602" i="9"/>
  <c r="G602" i="9" s="1"/>
  <c r="G599" i="9"/>
  <c r="G598" i="9"/>
  <c r="G597" i="9"/>
  <c r="G596" i="9"/>
  <c r="G595" i="9"/>
  <c r="G594" i="9"/>
  <c r="G592" i="9"/>
  <c r="G591" i="9"/>
  <c r="G590" i="9"/>
  <c r="G589" i="9"/>
  <c r="G588" i="9"/>
  <c r="E585" i="9"/>
  <c r="G585" i="9" s="1"/>
  <c r="E584" i="9"/>
  <c r="G584" i="9" s="1"/>
  <c r="E583" i="9"/>
  <c r="G583" i="9" s="1"/>
  <c r="E582" i="9"/>
  <c r="G582" i="9" s="1"/>
  <c r="E581" i="9"/>
  <c r="G581" i="9" s="1"/>
  <c r="E580" i="9"/>
  <c r="G580" i="9" s="1"/>
  <c r="E579" i="9"/>
  <c r="G579" i="9" s="1"/>
  <c r="E578" i="9"/>
  <c r="G578" i="9" s="1"/>
  <c r="E577" i="9"/>
  <c r="G577" i="9" s="1"/>
  <c r="G576" i="9"/>
  <c r="E575" i="9"/>
  <c r="G575" i="9" s="1"/>
  <c r="G573" i="9"/>
  <c r="E572" i="9"/>
  <c r="G572" i="9" s="1"/>
  <c r="G571" i="9"/>
  <c r="G570" i="9"/>
  <c r="G569" i="9"/>
  <c r="G568" i="9"/>
  <c r="G567" i="9"/>
  <c r="G566" i="9"/>
  <c r="G565" i="9"/>
  <c r="G564" i="9"/>
  <c r="G563" i="9"/>
  <c r="G562" i="9"/>
  <c r="G561" i="9"/>
  <c r="G560" i="9"/>
  <c r="G559" i="9"/>
  <c r="G558" i="9"/>
  <c r="G557" i="9"/>
  <c r="G556" i="9"/>
  <c r="G555" i="9"/>
  <c r="G554" i="9"/>
  <c r="G553" i="9"/>
  <c r="G552" i="9"/>
  <c r="G551" i="9"/>
  <c r="G550" i="9"/>
  <c r="G549" i="9"/>
  <c r="E548" i="9"/>
  <c r="G548" i="9" s="1"/>
  <c r="G547" i="9"/>
  <c r="G546" i="9"/>
  <c r="G545" i="9"/>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E506" i="9"/>
  <c r="G506" i="9" s="1"/>
  <c r="E505" i="9"/>
  <c r="G505" i="9" s="1"/>
  <c r="G504" i="9"/>
  <c r="G503" i="9"/>
  <c r="G501" i="9"/>
  <c r="E500" i="9"/>
  <c r="E502" i="9" s="1"/>
  <c r="G502" i="9" s="1"/>
  <c r="G499" i="9"/>
  <c r="G498" i="9"/>
  <c r="G497" i="9"/>
  <c r="G496" i="9"/>
  <c r="G495" i="9"/>
  <c r="G494" i="9"/>
  <c r="G493" i="9"/>
  <c r="G492" i="9"/>
  <c r="G491" i="9"/>
  <c r="G489" i="9"/>
  <c r="G488" i="9"/>
  <c r="G487" i="9"/>
  <c r="G486" i="9"/>
  <c r="G485" i="9"/>
  <c r="G484" i="9"/>
  <c r="E483" i="9"/>
  <c r="G483" i="9" s="1"/>
  <c r="G482" i="9"/>
  <c r="E481" i="9"/>
  <c r="G481" i="9" s="1"/>
  <c r="E478" i="9"/>
  <c r="G478" i="9" s="1"/>
  <c r="E477" i="9"/>
  <c r="G477" i="9" s="1"/>
  <c r="G476" i="9"/>
  <c r="G475" i="9"/>
  <c r="E473" i="9"/>
  <c r="G473" i="9" s="1"/>
  <c r="E472" i="9"/>
  <c r="G472" i="9" s="1"/>
  <c r="E471" i="9"/>
  <c r="G471" i="9" s="1"/>
  <c r="G470" i="9"/>
  <c r="G469" i="9"/>
  <c r="G468" i="9"/>
  <c r="G467" i="9"/>
  <c r="G466" i="9"/>
  <c r="G465" i="9"/>
  <c r="G464" i="9"/>
  <c r="G463" i="9"/>
  <c r="G462" i="9"/>
  <c r="G460" i="9"/>
  <c r="G459" i="9"/>
  <c r="G458" i="9"/>
  <c r="G457" i="9"/>
  <c r="G456" i="9"/>
  <c r="E455" i="9"/>
  <c r="G455" i="9" s="1"/>
  <c r="G454" i="9"/>
  <c r="G453" i="9"/>
  <c r="G452" i="9"/>
  <c r="G450" i="9"/>
  <c r="G449" i="9"/>
  <c r="G448" i="9"/>
  <c r="G445" i="9"/>
  <c r="G444" i="9"/>
  <c r="G441" i="9"/>
  <c r="G440" i="9"/>
  <c r="G439" i="9"/>
  <c r="G438" i="9"/>
  <c r="G437" i="9"/>
  <c r="G436" i="9"/>
  <c r="G433" i="9"/>
  <c r="G432" i="9"/>
  <c r="G431" i="9"/>
  <c r="G430" i="9"/>
  <c r="G429" i="9"/>
  <c r="G428" i="9"/>
  <c r="E427" i="9"/>
  <c r="G427" i="9" s="1"/>
  <c r="E426" i="9"/>
  <c r="G426" i="9" s="1"/>
  <c r="G425" i="9"/>
  <c r="G424" i="9"/>
  <c r="G421" i="9"/>
  <c r="G420" i="9"/>
  <c r="G419" i="9"/>
  <c r="G418" i="9"/>
  <c r="G417" i="9"/>
  <c r="G416" i="9"/>
  <c r="G415" i="9"/>
  <c r="G413" i="9"/>
  <c r="G412" i="9"/>
  <c r="G411" i="9"/>
  <c r="G410" i="9"/>
  <c r="G409" i="9"/>
  <c r="E408" i="9"/>
  <c r="G408" i="9" s="1"/>
  <c r="G407" i="9"/>
  <c r="G406" i="9"/>
  <c r="G405" i="9"/>
  <c r="G404" i="9"/>
  <c r="E400" i="9"/>
  <c r="E402" i="9" s="1"/>
  <c r="G402" i="9" s="1"/>
  <c r="G399" i="9"/>
  <c r="G398" i="9"/>
  <c r="G397" i="9"/>
  <c r="G396" i="9"/>
  <c r="G395" i="9"/>
  <c r="G392" i="9"/>
  <c r="G391" i="9"/>
  <c r="G390" i="9"/>
  <c r="G389" i="9"/>
  <c r="G388" i="9"/>
  <c r="G387" i="9"/>
  <c r="G385" i="9"/>
  <c r="G384" i="9"/>
  <c r="G383" i="9"/>
  <c r="G382" i="9"/>
  <c r="G381" i="9"/>
  <c r="G380" i="9"/>
  <c r="G379" i="9"/>
  <c r="G378" i="9"/>
  <c r="G377" i="9"/>
  <c r="G376" i="9"/>
  <c r="G375" i="9"/>
  <c r="G374" i="9"/>
  <c r="G373" i="9"/>
  <c r="G372" i="9"/>
  <c r="G371" i="9"/>
  <c r="G247" i="6"/>
  <c r="G246" i="6"/>
  <c r="G245" i="6"/>
  <c r="E244" i="6"/>
  <c r="G244" i="6" s="1"/>
  <c r="G243" i="6"/>
  <c r="G242" i="6"/>
  <c r="G241" i="6"/>
  <c r="G240" i="6"/>
  <c r="G239" i="6"/>
  <c r="G238" i="6"/>
  <c r="G237" i="6"/>
  <c r="G236" i="6"/>
  <c r="G235" i="6"/>
  <c r="G234" i="6"/>
  <c r="G233" i="6"/>
  <c r="G232" i="6"/>
  <c r="G231" i="6"/>
  <c r="G230" i="6"/>
  <c r="G229" i="6"/>
  <c r="G227" i="6"/>
  <c r="G226" i="6"/>
  <c r="G225" i="6"/>
  <c r="G224" i="6"/>
  <c r="G223" i="6"/>
  <c r="G222" i="6"/>
  <c r="G221" i="6"/>
  <c r="G218" i="6"/>
  <c r="G217" i="6"/>
  <c r="G216" i="6"/>
  <c r="G215" i="6"/>
  <c r="G214" i="6"/>
  <c r="G213" i="6"/>
  <c r="G212" i="6"/>
  <c r="E211" i="6"/>
  <c r="G211" i="6" s="1"/>
  <c r="G210" i="6"/>
  <c r="G209" i="6"/>
  <c r="G207" i="6"/>
  <c r="G206" i="6"/>
  <c r="G205" i="6"/>
  <c r="G204" i="6"/>
  <c r="G203" i="6"/>
  <c r="G202" i="6"/>
  <c r="G200" i="6"/>
  <c r="G199" i="6"/>
  <c r="G198" i="6"/>
  <c r="G197" i="6"/>
  <c r="G196" i="6"/>
  <c r="G195" i="6"/>
  <c r="G194" i="6"/>
  <c r="G193" i="6"/>
  <c r="G192" i="6"/>
  <c r="G191" i="6"/>
  <c r="G190" i="6"/>
  <c r="G189" i="6"/>
  <c r="G188" i="6"/>
  <c r="G187" i="6"/>
  <c r="G186" i="6"/>
  <c r="G185" i="6"/>
  <c r="G184" i="6"/>
  <c r="G183" i="6"/>
  <c r="G182" i="6"/>
  <c r="G181" i="6"/>
  <c r="G180" i="6"/>
  <c r="G179" i="6"/>
  <c r="G178" i="6"/>
  <c r="E174" i="6"/>
  <c r="E175" i="6" s="1"/>
  <c r="E176" i="6" s="1"/>
  <c r="G176" i="6" s="1"/>
  <c r="G173" i="6"/>
  <c r="E172" i="6"/>
  <c r="G172" i="6" s="1"/>
  <c r="G169" i="6"/>
  <c r="E168" i="6"/>
  <c r="G168" i="6" s="1"/>
  <c r="G167" i="6"/>
  <c r="G166" i="6"/>
  <c r="G165" i="6"/>
  <c r="G164" i="6"/>
  <c r="G162" i="6"/>
  <c r="G161" i="6"/>
  <c r="G160" i="6"/>
  <c r="E159" i="6"/>
  <c r="G159" i="6" s="1"/>
  <c r="E158" i="6"/>
  <c r="G158" i="6" s="1"/>
  <c r="E157" i="6"/>
  <c r="G157" i="6" s="1"/>
  <c r="G156" i="6"/>
  <c r="E155" i="6"/>
  <c r="G155" i="6" s="1"/>
  <c r="E154" i="6"/>
  <c r="G154" i="6" s="1"/>
  <c r="G153" i="6"/>
  <c r="G152" i="6"/>
  <c r="G151" i="6"/>
  <c r="G150" i="6"/>
  <c r="G149" i="6"/>
  <c r="G148" i="6"/>
  <c r="E147" i="6"/>
  <c r="G147" i="6" s="1"/>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443" i="9" l="1"/>
  <c r="G674" i="9"/>
  <c r="G587" i="9"/>
  <c r="G423" i="9"/>
  <c r="G751" i="9"/>
  <c r="G601" i="9"/>
  <c r="G574" i="9"/>
  <c r="G720" i="9"/>
  <c r="E401" i="9"/>
  <c r="G401" i="9" s="1"/>
  <c r="G500" i="9"/>
  <c r="G490" i="9" s="1"/>
  <c r="G709" i="9"/>
  <c r="G593" i="9"/>
  <c r="G787" i="9"/>
  <c r="G808" i="9"/>
  <c r="G386" i="9"/>
  <c r="G435" i="9"/>
  <c r="G733" i="9"/>
  <c r="G828" i="9"/>
  <c r="G729" i="9"/>
  <c r="G775" i="9"/>
  <c r="G848" i="9"/>
  <c r="G370" i="9"/>
  <c r="G403" i="9"/>
  <c r="G474" i="9"/>
  <c r="G618" i="9"/>
  <c r="G725" i="9"/>
  <c r="G740" i="9"/>
  <c r="G822" i="9"/>
  <c r="G837" i="9"/>
  <c r="G17" i="14"/>
  <c r="G28" i="14"/>
  <c r="G3" i="14"/>
  <c r="G688" i="9"/>
  <c r="G649" i="9"/>
  <c r="G695" i="9"/>
  <c r="G634" i="9"/>
  <c r="G612" i="9"/>
  <c r="G480" i="9"/>
  <c r="G400" i="9"/>
  <c r="G174" i="6"/>
  <c r="G177" i="6"/>
  <c r="G101" i="6"/>
  <c r="G208" i="6"/>
  <c r="G163" i="6"/>
  <c r="G201" i="6"/>
  <c r="G220" i="6"/>
  <c r="G228" i="6"/>
  <c r="G175" i="6"/>
  <c r="G171" i="6" s="1"/>
  <c r="E128" i="9"/>
  <c r="E94" i="9"/>
  <c r="E97" i="9"/>
  <c r="E98" i="9" s="1"/>
  <c r="E100" i="9" s="1"/>
  <c r="E110" i="9"/>
  <c r="E94" i="6"/>
  <c r="E89" i="6"/>
  <c r="E90" i="6" s="1"/>
  <c r="E88" i="6"/>
  <c r="E87" i="6"/>
  <c r="E83" i="6"/>
  <c r="E84" i="6" s="1"/>
  <c r="E80" i="6"/>
  <c r="G369" i="9" l="1"/>
  <c r="G394" i="9"/>
  <c r="G393" i="9" s="1"/>
  <c r="G586" i="9"/>
  <c r="G719" i="9"/>
  <c r="G646" i="9" s="1"/>
  <c r="G422" i="9"/>
  <c r="G479" i="9"/>
  <c r="G600" i="9"/>
  <c r="G442" i="9"/>
  <c r="G170" i="6"/>
  <c r="G2" i="14"/>
  <c r="C15" i="5" s="1"/>
  <c r="G100" i="6"/>
  <c r="G219" i="6"/>
  <c r="C7" i="5" s="1"/>
  <c r="E116" i="9"/>
  <c r="E117" i="9" s="1"/>
  <c r="E118" i="9" s="1"/>
  <c r="E119" i="9" s="1"/>
  <c r="E120" i="9" s="1"/>
  <c r="E104" i="9"/>
  <c r="E99" i="9"/>
  <c r="G368" i="9" l="1"/>
  <c r="C12" i="5" s="1"/>
  <c r="G99" i="6"/>
  <c r="C6" i="5" s="1"/>
  <c r="C13" i="5"/>
  <c r="E33" i="6"/>
  <c r="E34" i="6" s="1"/>
  <c r="G34" i="6" s="1"/>
  <c r="G35" i="6"/>
  <c r="G32" i="6"/>
  <c r="G14" i="6"/>
  <c r="E12" i="6"/>
  <c r="G12" i="6" s="1"/>
  <c r="E11" i="6"/>
  <c r="G11" i="6" s="1"/>
  <c r="E261" i="9"/>
  <c r="G261" i="9" s="1"/>
  <c r="E255" i="9"/>
  <c r="G255" i="9" s="1"/>
  <c r="E256" i="9"/>
  <c r="G256" i="9" s="1"/>
  <c r="E257" i="9"/>
  <c r="G257" i="9" s="1"/>
  <c r="E258" i="9"/>
  <c r="G258" i="9" s="1"/>
  <c r="G78" i="14"/>
  <c r="E77" i="14"/>
  <c r="G77" i="14" s="1"/>
  <c r="E76" i="14"/>
  <c r="G76" i="14" s="1"/>
  <c r="G75" i="14"/>
  <c r="G73" i="14"/>
  <c r="G72" i="14"/>
  <c r="G71" i="14"/>
  <c r="G70" i="14"/>
  <c r="G69" i="14"/>
  <c r="G68" i="14"/>
  <c r="E67" i="14"/>
  <c r="G67" i="14" s="1"/>
  <c r="G66" i="14"/>
  <c r="G65" i="14"/>
  <c r="E64" i="14"/>
  <c r="G64" i="14" s="1"/>
  <c r="E63" i="14"/>
  <c r="G63" i="14" s="1"/>
  <c r="E62" i="14"/>
  <c r="G62" i="14" s="1"/>
  <c r="E61" i="14"/>
  <c r="G61" i="14" s="1"/>
  <c r="E60" i="14"/>
  <c r="G60" i="14" s="1"/>
  <c r="G59" i="14"/>
  <c r="G58" i="14"/>
  <c r="E57" i="14"/>
  <c r="G57" i="14" s="1"/>
  <c r="G56" i="14"/>
  <c r="E55" i="14"/>
  <c r="G55" i="14" s="1"/>
  <c r="E54" i="14"/>
  <c r="G54" i="14" s="1"/>
  <c r="E53" i="14"/>
  <c r="G53" i="14" s="1"/>
  <c r="E52" i="14"/>
  <c r="G52" i="14" s="1"/>
  <c r="E51" i="14"/>
  <c r="G51" i="14" s="1"/>
  <c r="E50" i="14"/>
  <c r="G50" i="14" s="1"/>
  <c r="D15" i="5"/>
  <c r="E15" i="5" s="1"/>
  <c r="G104" i="9"/>
  <c r="G103" i="9"/>
  <c r="E330" i="9"/>
  <c r="E131" i="9"/>
  <c r="E132" i="9" s="1"/>
  <c r="E96" i="6"/>
  <c r="G108" i="9"/>
  <c r="G106" i="9"/>
  <c r="E49" i="6"/>
  <c r="G49" i="6" s="1"/>
  <c r="E28" i="6"/>
  <c r="G28" i="6" s="1"/>
  <c r="E331" i="9" l="1"/>
  <c r="G330" i="9"/>
  <c r="E13" i="6"/>
  <c r="G13" i="6" s="1"/>
  <c r="G33" i="6"/>
  <c r="G49" i="14"/>
  <c r="C14" i="5" l="1"/>
  <c r="D14" i="5" s="1"/>
  <c r="E14" i="5" s="1"/>
  <c r="G79" i="14"/>
  <c r="G80" i="14" s="1"/>
  <c r="G81" i="14" s="1"/>
  <c r="G92" i="9" l="1"/>
  <c r="E74" i="6"/>
  <c r="G357" i="9" l="1"/>
  <c r="G355" i="9"/>
  <c r="G353" i="9"/>
  <c r="G96" i="6"/>
  <c r="G94" i="6"/>
  <c r="G83" i="6"/>
  <c r="G80" i="6"/>
  <c r="G90" i="6"/>
  <c r="G88" i="6"/>
  <c r="G87" i="6"/>
  <c r="E85" i="6"/>
  <c r="G85" i="6" s="1"/>
  <c r="G84" i="6"/>
  <c r="E70" i="6"/>
  <c r="G70" i="6" s="1"/>
  <c r="E69" i="6"/>
  <c r="E66" i="6"/>
  <c r="E67" i="6"/>
  <c r="G67" i="6" s="1"/>
  <c r="E73" i="6"/>
  <c r="E72" i="6"/>
  <c r="E68" i="6"/>
  <c r="E8" i="6"/>
  <c r="E6" i="6"/>
  <c r="E7" i="6" s="1"/>
  <c r="G7" i="6" s="1"/>
  <c r="E62" i="6"/>
  <c r="G214" i="9"/>
  <c r="G349" i="9"/>
  <c r="E347" i="9"/>
  <c r="G347" i="9" s="1"/>
  <c r="E341" i="9"/>
  <c r="G341" i="9" s="1"/>
  <c r="E340" i="9"/>
  <c r="G340" i="9" s="1"/>
  <c r="G338" i="9"/>
  <c r="E264" i="9"/>
  <c r="E266" i="9" l="1"/>
  <c r="G266" i="9" s="1"/>
  <c r="G264" i="9"/>
  <c r="G337" i="9"/>
  <c r="G89" i="6"/>
  <c r="E82" i="6"/>
  <c r="G82" i="6" s="1"/>
  <c r="G95" i="6"/>
  <c r="E91" i="6"/>
  <c r="E81" i="6"/>
  <c r="G81" i="6" s="1"/>
  <c r="E97" i="6"/>
  <c r="E115" i="9"/>
  <c r="G115" i="9" s="1"/>
  <c r="E113" i="9"/>
  <c r="G113" i="9" s="1"/>
  <c r="G5" i="6"/>
  <c r="G128" i="9"/>
  <c r="G127" i="9"/>
  <c r="E367" i="9"/>
  <c r="G367" i="9" s="1"/>
  <c r="E366" i="9"/>
  <c r="G366" i="9" s="1"/>
  <c r="E365" i="9"/>
  <c r="G365" i="9" s="1"/>
  <c r="E364" i="9"/>
  <c r="G364" i="9" s="1"/>
  <c r="E363" i="9"/>
  <c r="G363" i="9" s="1"/>
  <c r="E362" i="9"/>
  <c r="G362" i="9" s="1"/>
  <c r="E361" i="9"/>
  <c r="G361" i="9" s="1"/>
  <c r="E360" i="9"/>
  <c r="G360" i="9" s="1"/>
  <c r="G358" i="9"/>
  <c r="G356" i="9"/>
  <c r="G354" i="9"/>
  <c r="G352" i="9"/>
  <c r="G351" i="9"/>
  <c r="E335" i="9"/>
  <c r="G335" i="9" s="1"/>
  <c r="G334" i="9"/>
  <c r="G333" i="9"/>
  <c r="G332" i="9"/>
  <c r="G331" i="9"/>
  <c r="G324" i="9"/>
  <c r="E322" i="9"/>
  <c r="G322" i="9" s="1"/>
  <c r="E321" i="9"/>
  <c r="G321" i="9" s="1"/>
  <c r="E320" i="9"/>
  <c r="G320" i="9" s="1"/>
  <c r="E319" i="9"/>
  <c r="G319" i="9" s="1"/>
  <c r="E318" i="9"/>
  <c r="G318" i="9" s="1"/>
  <c r="E310" i="9"/>
  <c r="G310" i="9" s="1"/>
  <c r="E304" i="9"/>
  <c r="G304" i="9" s="1"/>
  <c r="G303" i="9"/>
  <c r="E301" i="9"/>
  <c r="G301" i="9" s="1"/>
  <c r="E300" i="9"/>
  <c r="G300" i="9" s="1"/>
  <c r="E299" i="9"/>
  <c r="G299" i="9" s="1"/>
  <c r="E298" i="9"/>
  <c r="G298" i="9" s="1"/>
  <c r="E297" i="9"/>
  <c r="G297" i="9" s="1"/>
  <c r="E296" i="9"/>
  <c r="G296" i="9" s="1"/>
  <c r="E295" i="9"/>
  <c r="G295" i="9" s="1"/>
  <c r="E294" i="9"/>
  <c r="G294" i="9" s="1"/>
  <c r="E293" i="9"/>
  <c r="G293" i="9" s="1"/>
  <c r="E291" i="9"/>
  <c r="G291" i="9" s="1"/>
  <c r="E290" i="9"/>
  <c r="G290" i="9" s="1"/>
  <c r="E289" i="9"/>
  <c r="G289" i="9" s="1"/>
  <c r="E288" i="9"/>
  <c r="G288" i="9" s="1"/>
  <c r="E287" i="9"/>
  <c r="G287" i="9" s="1"/>
  <c r="E286" i="9"/>
  <c r="G286" i="9" s="1"/>
  <c r="E284" i="9"/>
  <c r="G284" i="9" s="1"/>
  <c r="E281" i="9"/>
  <c r="G281" i="9" s="1"/>
  <c r="E280" i="9"/>
  <c r="G280" i="9" s="1"/>
  <c r="E279" i="9"/>
  <c r="G279" i="9" s="1"/>
  <c r="E278" i="9"/>
  <c r="G278" i="9" s="1"/>
  <c r="E277" i="9"/>
  <c r="G277" i="9" s="1"/>
  <c r="E276" i="9"/>
  <c r="G276" i="9" s="1"/>
  <c r="E275" i="9"/>
  <c r="G275" i="9" s="1"/>
  <c r="E274" i="9"/>
  <c r="G274" i="9" s="1"/>
  <c r="E273" i="9"/>
  <c r="G273" i="9" s="1"/>
  <c r="E272" i="9"/>
  <c r="G272" i="9" s="1"/>
  <c r="E271" i="9"/>
  <c r="G271" i="9" s="1"/>
  <c r="E270" i="9"/>
  <c r="G270" i="9" s="1"/>
  <c r="E269" i="9"/>
  <c r="G269" i="9" s="1"/>
  <c r="E253" i="9"/>
  <c r="G253" i="9" s="1"/>
  <c r="E252" i="9"/>
  <c r="G252" i="9" s="1"/>
  <c r="E251" i="9"/>
  <c r="G251" i="9" s="1"/>
  <c r="E240" i="9"/>
  <c r="G240" i="9" s="1"/>
  <c r="E236" i="9"/>
  <c r="G236" i="9" s="1"/>
  <c r="G235" i="9"/>
  <c r="E233" i="9"/>
  <c r="G233" i="9" s="1"/>
  <c r="E232" i="9"/>
  <c r="G232" i="9" s="1"/>
  <c r="E231" i="9"/>
  <c r="G231" i="9" s="1"/>
  <c r="E229" i="9"/>
  <c r="G229" i="9" s="1"/>
  <c r="E225" i="9"/>
  <c r="G225" i="9" s="1"/>
  <c r="G224" i="9"/>
  <c r="E209" i="9"/>
  <c r="G209" i="9" s="1"/>
  <c r="E208" i="9"/>
  <c r="G208" i="9" s="1"/>
  <c r="E207" i="9"/>
  <c r="G207" i="9" s="1"/>
  <c r="E206" i="9"/>
  <c r="G206" i="9" s="1"/>
  <c r="E204" i="9"/>
  <c r="G204" i="9" s="1"/>
  <c r="E203" i="9"/>
  <c r="G203" i="9" s="1"/>
  <c r="E202" i="9"/>
  <c r="G202" i="9" s="1"/>
  <c r="G198" i="9"/>
  <c r="E196" i="9"/>
  <c r="G196" i="9" s="1"/>
  <c r="G195" i="9"/>
  <c r="G194" i="9"/>
  <c r="E193" i="9"/>
  <c r="G193" i="9" s="1"/>
  <c r="G192" i="9"/>
  <c r="G191" i="9"/>
  <c r="E190" i="9"/>
  <c r="G190" i="9" s="1"/>
  <c r="G189" i="9"/>
  <c r="G188" i="9"/>
  <c r="G187" i="9"/>
  <c r="E186" i="9"/>
  <c r="G186" i="9" s="1"/>
  <c r="G185" i="9"/>
  <c r="E183" i="9"/>
  <c r="G183" i="9" s="1"/>
  <c r="E182" i="9"/>
  <c r="G182" i="9" s="1"/>
  <c r="E181" i="9"/>
  <c r="G181" i="9" s="1"/>
  <c r="E180" i="9"/>
  <c r="G180" i="9" s="1"/>
  <c r="G179" i="9"/>
  <c r="E178" i="9"/>
  <c r="G178" i="9" s="1"/>
  <c r="G177" i="9"/>
  <c r="G176" i="9"/>
  <c r="G175" i="9"/>
  <c r="E174" i="9"/>
  <c r="G174" i="9" s="1"/>
  <c r="G173" i="9"/>
  <c r="G170" i="9"/>
  <c r="G169" i="9"/>
  <c r="G166" i="9"/>
  <c r="G165" i="9"/>
  <c r="G163" i="9"/>
  <c r="E159" i="9"/>
  <c r="G159" i="9" s="1"/>
  <c r="E158" i="9"/>
  <c r="G158" i="9" s="1"/>
  <c r="E157" i="9"/>
  <c r="G157" i="9" s="1"/>
  <c r="E156" i="9"/>
  <c r="G156" i="9" s="1"/>
  <c r="E153" i="9"/>
  <c r="G153" i="9" s="1"/>
  <c r="E152" i="9"/>
  <c r="G152" i="9" s="1"/>
  <c r="E151" i="9"/>
  <c r="G151" i="9" s="1"/>
  <c r="G146" i="9"/>
  <c r="E140" i="9"/>
  <c r="G140" i="9" s="1"/>
  <c r="E139" i="9"/>
  <c r="G139" i="9" s="1"/>
  <c r="E138" i="9"/>
  <c r="G138" i="9" s="1"/>
  <c r="E137" i="9"/>
  <c r="G137" i="9" s="1"/>
  <c r="G136" i="9"/>
  <c r="G135" i="9"/>
  <c r="E134" i="9"/>
  <c r="G134" i="9" s="1"/>
  <c r="G133" i="9"/>
  <c r="G132" i="9"/>
  <c r="G131" i="9"/>
  <c r="E125" i="9"/>
  <c r="G125" i="9" s="1"/>
  <c r="E124" i="9"/>
  <c r="G124" i="9" s="1"/>
  <c r="G123" i="9"/>
  <c r="G120" i="9"/>
  <c r="G119" i="9"/>
  <c r="G118" i="9"/>
  <c r="G117" i="9"/>
  <c r="G116" i="9"/>
  <c r="G100" i="9"/>
  <c r="G99" i="9"/>
  <c r="G98" i="9"/>
  <c r="G97" i="9"/>
  <c r="E111" i="9"/>
  <c r="G111" i="9" s="1"/>
  <c r="G110" i="9"/>
  <c r="G109" i="9"/>
  <c r="G102" i="9"/>
  <c r="G101" i="9" s="1"/>
  <c r="G94" i="9"/>
  <c r="G91" i="9"/>
  <c r="E90" i="9"/>
  <c r="E89" i="9"/>
  <c r="G89" i="9" s="1"/>
  <c r="E84" i="9"/>
  <c r="G84" i="9" s="1"/>
  <c r="E83" i="9"/>
  <c r="G83" i="9" s="1"/>
  <c r="E82" i="9"/>
  <c r="G82" i="9" s="1"/>
  <c r="E81" i="9"/>
  <c r="G81" i="9" s="1"/>
  <c r="E80" i="9"/>
  <c r="G80" i="9" s="1"/>
  <c r="E71" i="9"/>
  <c r="G71" i="9" s="1"/>
  <c r="E68" i="9"/>
  <c r="G68" i="9" s="1"/>
  <c r="E67" i="9"/>
  <c r="G67" i="9" s="1"/>
  <c r="E66" i="9"/>
  <c r="G66" i="9" s="1"/>
  <c r="E61" i="9"/>
  <c r="G61" i="9" s="1"/>
  <c r="E60" i="9"/>
  <c r="G60" i="9" s="1"/>
  <c r="E59" i="9"/>
  <c r="G59" i="9" s="1"/>
  <c r="E58" i="9"/>
  <c r="G58" i="9" s="1"/>
  <c r="E57" i="9"/>
  <c r="G57" i="9" s="1"/>
  <c r="E56" i="9"/>
  <c r="G56" i="9" s="1"/>
  <c r="E55" i="9"/>
  <c r="G55" i="9" s="1"/>
  <c r="E54" i="9"/>
  <c r="G54" i="9" s="1"/>
  <c r="E52" i="9"/>
  <c r="G52" i="9" s="1"/>
  <c r="E51" i="9"/>
  <c r="G51" i="9" s="1"/>
  <c r="E49" i="9"/>
  <c r="G49" i="9" s="1"/>
  <c r="E48" i="9"/>
  <c r="G48" i="9" s="1"/>
  <c r="E47" i="9"/>
  <c r="G47" i="9" s="1"/>
  <c r="E46" i="9"/>
  <c r="G46" i="9" s="1"/>
  <c r="E44" i="9"/>
  <c r="G44" i="9" s="1"/>
  <c r="E43" i="9"/>
  <c r="G43" i="9" s="1"/>
  <c r="E42" i="9"/>
  <c r="G42" i="9" s="1"/>
  <c r="E41" i="9"/>
  <c r="G41" i="9" s="1"/>
  <c r="E40" i="9"/>
  <c r="G40" i="9" s="1"/>
  <c r="E39" i="9"/>
  <c r="G39" i="9" s="1"/>
  <c r="E38" i="9"/>
  <c r="G38" i="9" s="1"/>
  <c r="E37" i="9"/>
  <c r="G37" i="9" s="1"/>
  <c r="E36" i="9"/>
  <c r="G36" i="9" s="1"/>
  <c r="E35" i="9"/>
  <c r="G35" i="9" s="1"/>
  <c r="E34" i="9"/>
  <c r="G34" i="9" s="1"/>
  <c r="E33" i="9"/>
  <c r="G33" i="9" s="1"/>
  <c r="E32" i="9"/>
  <c r="G32" i="9" s="1"/>
  <c r="E31" i="9"/>
  <c r="G31" i="9" s="1"/>
  <c r="E30" i="9"/>
  <c r="G30" i="9" s="1"/>
  <c r="E29" i="9"/>
  <c r="G29" i="9" s="1"/>
  <c r="E28" i="9"/>
  <c r="G28" i="9" s="1"/>
  <c r="E27" i="9"/>
  <c r="G27" i="9" s="1"/>
  <c r="E26" i="9"/>
  <c r="G26" i="9" s="1"/>
  <c r="E25" i="9"/>
  <c r="G25" i="9" s="1"/>
  <c r="E24" i="9"/>
  <c r="G24" i="9" s="1"/>
  <c r="E23" i="9"/>
  <c r="G23" i="9" s="1"/>
  <c r="E22" i="9"/>
  <c r="G22" i="9" s="1"/>
  <c r="E21" i="9"/>
  <c r="G21" i="9" s="1"/>
  <c r="E20" i="9"/>
  <c r="G20" i="9" s="1"/>
  <c r="E19" i="9"/>
  <c r="G19" i="9" s="1"/>
  <c r="E18" i="9"/>
  <c r="G18" i="9" s="1"/>
  <c r="E17" i="9"/>
  <c r="G17" i="9" s="1"/>
  <c r="E16" i="9"/>
  <c r="G16" i="9" s="1"/>
  <c r="E15" i="9"/>
  <c r="G15" i="9" s="1"/>
  <c r="E14" i="9"/>
  <c r="G14" i="9" s="1"/>
  <c r="E13" i="9"/>
  <c r="G13" i="9" s="1"/>
  <c r="E12" i="9"/>
  <c r="G12" i="9" s="1"/>
  <c r="E11" i="9"/>
  <c r="G11" i="9" s="1"/>
  <c r="E10" i="9"/>
  <c r="G10" i="9" s="1"/>
  <c r="E9" i="9"/>
  <c r="G9" i="9" s="1"/>
  <c r="E63" i="6"/>
  <c r="E64" i="6" s="1"/>
  <c r="E95" i="9" l="1"/>
  <c r="E96" i="9" s="1"/>
  <c r="G96" i="9" s="1"/>
  <c r="G129" i="9"/>
  <c r="G302" i="9"/>
  <c r="G316" i="9"/>
  <c r="G234" i="9"/>
  <c r="G79" i="6"/>
  <c r="G90" i="9"/>
  <c r="E155" i="9"/>
  <c r="G155" i="9" s="1"/>
  <c r="E160" i="9"/>
  <c r="G160" i="9" s="1"/>
  <c r="G248" i="9"/>
  <c r="E210" i="9"/>
  <c r="G210" i="9" s="1"/>
  <c r="E211" i="9"/>
  <c r="G211" i="9" s="1"/>
  <c r="E259" i="9"/>
  <c r="G105" i="9"/>
  <c r="G147" i="9"/>
  <c r="E98" i="6"/>
  <c r="G98" i="6" s="1"/>
  <c r="G8" i="9"/>
  <c r="G93" i="9"/>
  <c r="E92" i="6"/>
  <c r="G92" i="6" s="1"/>
  <c r="E114" i="9"/>
  <c r="G114" i="9" s="1"/>
  <c r="G91" i="6"/>
  <c r="G97" i="6"/>
  <c r="G350" i="9"/>
  <c r="G359" i="9"/>
  <c r="G172" i="9"/>
  <c r="G122" i="9"/>
  <c r="G184" i="9"/>
  <c r="G268" i="9"/>
  <c r="G223" i="9"/>
  <c r="G6" i="6"/>
  <c r="E77" i="6"/>
  <c r="G77" i="6" s="1"/>
  <c r="E76" i="6"/>
  <c r="G76" i="6" s="1"/>
  <c r="G73" i="6"/>
  <c r="G72" i="6"/>
  <c r="E71" i="6"/>
  <c r="G71" i="6" s="1"/>
  <c r="G69" i="6"/>
  <c r="G68" i="6"/>
  <c r="G66" i="6"/>
  <c r="G58" i="6"/>
  <c r="E56" i="6"/>
  <c r="G56" i="6" s="1"/>
  <c r="E55" i="6"/>
  <c r="G55" i="6" s="1"/>
  <c r="E54" i="6"/>
  <c r="G54" i="6" s="1"/>
  <c r="E53" i="6"/>
  <c r="G53" i="6" s="1"/>
  <c r="E52" i="6"/>
  <c r="G52" i="6" s="1"/>
  <c r="G50" i="6"/>
  <c r="E48" i="6"/>
  <c r="G48" i="6" s="1"/>
  <c r="E47" i="6"/>
  <c r="G47" i="6" s="1"/>
  <c r="G46" i="6"/>
  <c r="E45" i="6"/>
  <c r="G45" i="6" s="1"/>
  <c r="G44" i="6"/>
  <c r="E43" i="6"/>
  <c r="G43" i="6" s="1"/>
  <c r="E42" i="6"/>
  <c r="G40" i="6"/>
  <c r="G38" i="6"/>
  <c r="G37" i="6"/>
  <c r="G36" i="6"/>
  <c r="G31" i="6"/>
  <c r="G29" i="6"/>
  <c r="E27" i="6"/>
  <c r="G27" i="6" s="1"/>
  <c r="E26" i="6"/>
  <c r="G26" i="6" s="1"/>
  <c r="G25" i="6"/>
  <c r="E24" i="6"/>
  <c r="G24" i="6" s="1"/>
  <c r="G23" i="6"/>
  <c r="E22" i="6"/>
  <c r="G22" i="6" s="1"/>
  <c r="E21" i="6"/>
  <c r="G21" i="6" s="1"/>
  <c r="G19" i="6"/>
  <c r="E18" i="6"/>
  <c r="G18" i="6" s="1"/>
  <c r="G17" i="6"/>
  <c r="G16" i="6"/>
  <c r="G15" i="6"/>
  <c r="G10" i="6"/>
  <c r="G8" i="6"/>
  <c r="E4" i="6"/>
  <c r="G4" i="6" s="1"/>
  <c r="G74" i="6"/>
  <c r="G64" i="6"/>
  <c r="G63" i="6"/>
  <c r="G62" i="6"/>
  <c r="G61" i="6"/>
  <c r="G145" i="9" l="1"/>
  <c r="G30" i="6"/>
  <c r="E263" i="9"/>
  <c r="G259" i="9"/>
  <c r="G42" i="6"/>
  <c r="E39" i="6"/>
  <c r="E164" i="9"/>
  <c r="E168" i="9" s="1"/>
  <c r="G168" i="9" s="1"/>
  <c r="E267" i="9"/>
  <c r="G267" i="9" s="1"/>
  <c r="E215" i="9"/>
  <c r="G60" i="6"/>
  <c r="G95" i="9"/>
  <c r="G88" i="9" s="1"/>
  <c r="G112" i="9"/>
  <c r="G65" i="6"/>
  <c r="G3" i="6"/>
  <c r="G86" i="6"/>
  <c r="G93" i="6"/>
  <c r="D13" i="5"/>
  <c r="E13" i="5" s="1"/>
  <c r="G247" i="9"/>
  <c r="G197" i="9"/>
  <c r="G51" i="6"/>
  <c r="G9" i="6"/>
  <c r="G75" i="6"/>
  <c r="E219" i="9" l="1"/>
  <c r="G219" i="9" s="1"/>
  <c r="G215" i="9"/>
  <c r="G59" i="6"/>
  <c r="G87" i="9"/>
  <c r="D12" i="5"/>
  <c r="E12" i="5" s="1"/>
  <c r="G164" i="9"/>
  <c r="G162" i="9" s="1"/>
  <c r="G121" i="9" s="1"/>
  <c r="G263" i="9"/>
  <c r="G78" i="6"/>
  <c r="G213" i="9" l="1"/>
  <c r="G171" i="9" s="1"/>
  <c r="G2" i="6"/>
  <c r="C5" i="5" s="1"/>
  <c r="G262" i="9"/>
  <c r="G222" i="9" s="1"/>
  <c r="D7" i="5"/>
  <c r="E7" i="5" s="1"/>
  <c r="D6" i="5"/>
  <c r="E6" i="5" s="1"/>
  <c r="G7" i="9" l="1"/>
  <c r="G248" i="6"/>
  <c r="G249" i="6" s="1"/>
  <c r="G250" i="6" s="1"/>
  <c r="C8" i="5"/>
  <c r="D5" i="5"/>
  <c r="D8" i="5" s="1"/>
  <c r="G864" i="9" l="1"/>
  <c r="G865" i="9" s="1"/>
  <c r="G866" i="9" s="1"/>
  <c r="C11" i="5"/>
  <c r="E5" i="5"/>
  <c r="E8" i="5" s="1"/>
  <c r="C16" i="5" l="1"/>
  <c r="C18" i="5" s="1"/>
  <c r="D11" i="5"/>
  <c r="E11" i="5" l="1"/>
  <c r="E16" i="5" s="1"/>
  <c r="E18" i="5" s="1"/>
  <c r="D16" i="5"/>
  <c r="D18" i="5" s="1"/>
</calcChain>
</file>

<file path=xl/sharedStrings.xml><?xml version="1.0" encoding="utf-8"?>
<sst xmlns="http://schemas.openxmlformats.org/spreadsheetml/2006/main" count="4525" uniqueCount="2157">
  <si>
    <t>Lp.</t>
  </si>
  <si>
    <t>Podstawa</t>
  </si>
  <si>
    <t>Opis</t>
  </si>
  <si>
    <t>Obmiar</t>
  </si>
  <si>
    <t>KONSTRUKCJA</t>
  </si>
  <si>
    <t>KNR 2-02 1101-01</t>
  </si>
  <si>
    <t>Podkłady betonowe na podłożu gruntowym - pod ławy ŁF-1</t>
  </si>
  <si>
    <t>m3</t>
  </si>
  <si>
    <t>Podkłady betonowe na podłożu gruntowym - pod ławy Fk-1, Fk-2, Fk-3, Fk-4</t>
  </si>
  <si>
    <t>Podkłady betonowe na podłożu gruntowym - pod F-1, F-1, F-3</t>
  </si>
  <si>
    <t>Podkłady betonowe na podłożu gruntowym - pod wzmocnienia fundamentów</t>
  </si>
  <si>
    <t>KNR 2-02 0202-01</t>
  </si>
  <si>
    <t>Ławy fundamentowe prostokątne żelbetowe, szerokości do 0,6 m - z zastosowaniem pompy do betonu - ŁF-1</t>
  </si>
  <si>
    <t>Ławy fundamentowe prostokątne żelbetowe, szerokości do 0,6 m - z zastosowaniem pompy do betonu - Fk-1, Fk-2, Fk-3, Fk-4</t>
  </si>
  <si>
    <t>KNR 2-02 0204-03</t>
  </si>
  <si>
    <t>Płyty fundamentowe prostokątne żelbetowe, o objętości do 2,5 m3 - z zastosowaniem pompy do betonu - F1</t>
  </si>
  <si>
    <t>Płyty fundamentowe prostokątne żelbetowe, o objętości do 2,5 m3 - z zastosowaniem pompy do betonu - F2</t>
  </si>
  <si>
    <t>Płyty fundamentowe prostokątne żelbetowe, o objętości do 2,5 m3 - z zastosowaniem pompy do betonu - F3</t>
  </si>
  <si>
    <t>KNR-W 2-02 0206-01</t>
  </si>
  <si>
    <t>Ściany betonowe proste grubości 20 cm wysokości do 3 m - z zastosowaniem pompy do betonu</t>
  </si>
  <si>
    <t>m2</t>
  </si>
  <si>
    <t>KNR-W 2-02 0206-05</t>
  </si>
  <si>
    <t>Ściany betonowe - dodatek za każdy 1 cm różnicy grubości - z zastosowaniem pompy do betonu Krotność = 5</t>
  </si>
  <si>
    <t>KNR 2-02 0208-01 analogia</t>
  </si>
  <si>
    <t>Słupy żelbetowe, prostokątne o wysokości do 4 m; stosunek deskowanego obwodu do przekroju do 6 - z zastosowaniem pompy do betonu - słup SŻ-0.1</t>
  </si>
  <si>
    <t>KNR 2-02 0290-01</t>
  </si>
  <si>
    <t>Przygotowanie i montaż zbrojenia elementów budynków i budowli - pręty gładkie - fi 6</t>
  </si>
  <si>
    <t>t</t>
  </si>
  <si>
    <t>KNR 2-02 0290-02</t>
  </si>
  <si>
    <t>Przygotowanie i montaż zbrojenia elementów budynków i budowli - pręty żebrowane - # 8</t>
  </si>
  <si>
    <t>Przygotowanie i montaż zbrojenia elementów budynków i budowli - pręty żebrowane - # 12</t>
  </si>
  <si>
    <t>Przygotowanie i montaż zbrojenia elementów budynków i budowli - pręty żebrowane - # 16</t>
  </si>
  <si>
    <t>KNR-W 2-02 0207-03 analogia</t>
  </si>
  <si>
    <t>Ściany żelbetowe proste grubości 12 cm wysokości do 6 m - z zastosowaniem pompy do betonu - ściany szybu windy</t>
  </si>
  <si>
    <t>KNR-W 2-02 0207-07 analogia</t>
  </si>
  <si>
    <t>Ściany żelbetowe - dodatek za każdy 1 cm różnicy grubości ścian - z zastosowaniem pompy do betonu - ściany szybu windy Krotność = 8</t>
  </si>
  <si>
    <t>KNR 2-02 0216-02</t>
  </si>
  <si>
    <t>Żelbetowe płyty stropowe, grubości 15 cm płaskie - z zastosowaniem pompy do betonu - płyta nadszybia</t>
  </si>
  <si>
    <t>KNR 2-02 0216-05</t>
  </si>
  <si>
    <t>Żelbetowe płyty stropowe, dachowe - dodatek za każdy 1 cm różnicy grubości płyty - z zastosowaniem pompy do betonu - płyta nadszybia Krotność = 5</t>
  </si>
  <si>
    <t>Słupy żelbetowe, prostokątne o wysokości do 4 m; stosunek deskowanego obwodu do przekroju do 6 - z zastosowaniem pompy do betonu - słup SŻ-1.1</t>
  </si>
  <si>
    <t>Słupy żelbetowe, prostokątne o wysokości do 4 m; stosunek deskowanego obwodu do przekroju do 6 - z zastosowaniem pompy do betonu - słup SŻ-2.1</t>
  </si>
  <si>
    <t>KNR 2-02 0210-01</t>
  </si>
  <si>
    <t>Belki i podciągi, żelbetowe; stosunek deskowanego obwodu do przekroju do 8 - z zastosowaniem pompy do betonu - belka BŻ-1.1a</t>
  </si>
  <si>
    <t>Belki i podciągi, żelbetowe; stosunek deskowanego obwodu do przekroju do 8 - z zastosowaniem pompy do betonu - belka BŻ-1.1b</t>
  </si>
  <si>
    <t>Belki i podciągi, żelbetowe; stosunek deskowanego obwodu do przekroju do 8 - z zastosowaniem pompy do betonu - belka BŻ-2.1a</t>
  </si>
  <si>
    <t>Belki i podciągi, żelbetowe; stosunek deskowanego obwodu do przekroju do 8 - z zastosowaniem pompy do betonu - belka BŻ-2.1b</t>
  </si>
  <si>
    <t>Belki i podciągi, żelbetowe; stosunek deskowanego obwodu do przekroju do 8 - z zastosowaniem pompy do betonu - belka BŻ-2.2</t>
  </si>
  <si>
    <t>Belki i podciągi, żelbetowe; stosunek deskowanego obwodu do przekroju do 8 - z zastosowaniem pompy do betonu - belka Ż-2.1</t>
  </si>
  <si>
    <t>Przygotowanie i montaż zbrojenia elementów budynków i budowli - pręty żebrowane - # 20</t>
  </si>
  <si>
    <t>KNR 2-02 0218-01 analogia</t>
  </si>
  <si>
    <t>Schody żelbetowe - Sch-1.1</t>
  </si>
  <si>
    <t>Przygotowanie i montaż zbrojenia elementów budynków i budowli - pręty żebrowane - # 10</t>
  </si>
  <si>
    <t>Schody żelbetowe - Sch-2.1</t>
  </si>
  <si>
    <t>Schody żelbetowe - SchZ-1</t>
  </si>
  <si>
    <t>KNR 2-02 0408-06</t>
  </si>
  <si>
    <t>Krokwie zwykłe, długość ponad 4.5 m przekrój poprzeczny drewna ponad 180 cm2 z tarcicy nasyconej</t>
  </si>
  <si>
    <t>KNR 2-02 0409-04</t>
  </si>
  <si>
    <t>Wymiany i rozpory, przekrój poprzeczny drewna do 180 cm2 z tarcicy nasyconej</t>
  </si>
  <si>
    <t>Kleszcze, długość ponad 4.5 m przekrój poprzeczny drewna ponad 180 cm2 z tarcicy nasyconej</t>
  </si>
  <si>
    <t>KNR 2-02 0406-06</t>
  </si>
  <si>
    <t>Ramy górne i płatwie, długość ponad 3 m - przekrój poprzeczny drewna ponad 180 cm2 z tarcicy nasyconej</t>
  </si>
  <si>
    <t>m3 drew.</t>
  </si>
  <si>
    <t>KNR 2-02 0408-01</t>
  </si>
  <si>
    <t>Miecze i zastrzały przekrój poprzeczny drewna do 180 cm2 z tarcicy nasyconej</t>
  </si>
  <si>
    <t>KNR 2-02 0407-06</t>
  </si>
  <si>
    <t>Słupy o długości ponad 2 m - przekrój poprzeczny drewna ponad 180 cm2 z tarcicy nasyconej</t>
  </si>
  <si>
    <t>KNR 2-02 0406-07</t>
  </si>
  <si>
    <t>Podwaliny krótkie o długości do 2 m - przekrój poprzeczny drewna do 180 cm2 z tarcicy nasyconej</t>
  </si>
  <si>
    <t>KNR 4-01 0212-03</t>
  </si>
  <si>
    <t>KNNR 1 0213-01 analogia</t>
  </si>
  <si>
    <t>Załadunek gruzu</t>
  </si>
  <si>
    <t xml:space="preserve"> kalk. własna</t>
  </si>
  <si>
    <t>Wywóz gruzu wraz z utylizacją (kontener)</t>
  </si>
  <si>
    <t>KNR-W 2-02 0832-01</t>
  </si>
  <si>
    <t>KNR-W 2-02 0801-04</t>
  </si>
  <si>
    <t>Tynki wewnętrzne zwykłe kat. III wykonywane mechanicznie na stropach i podciągach</t>
  </si>
  <si>
    <t>Żelbetowe płyty stropowe, grubości 15 cm płaskie - z zastosowaniem pompy do betonu - nad I piętrem</t>
  </si>
  <si>
    <t>Żelbetowe płyty stropowe, dachowe - dodatek za każdy 1 cm różnicy grubości płyty - z zastosowaniem pompy do betonu</t>
  </si>
  <si>
    <t>KNR-W 2-02 0217-01</t>
  </si>
  <si>
    <t>Płyta stropowa gęstożebrowa - z zastosowaniem pompy do betonu - nad parterem</t>
  </si>
  <si>
    <t>Przygotowanie i montaż zbrojenia elementów budynków i budowli - pręty żebrowane - # 8, #12</t>
  </si>
  <si>
    <t>Siatka spawana</t>
  </si>
  <si>
    <t>Płyta stropowa gęstożebrowa - z zastosowaniem pompy do betonu - nad I piętrem</t>
  </si>
  <si>
    <t>KNR 4-01 0201-01</t>
  </si>
  <si>
    <t>Stemplowanie w wysokości do 4 m deskowań konstrukcji</t>
  </si>
  <si>
    <t>KNR-W 4-01 0351-01 analogia</t>
  </si>
  <si>
    <t>Rozebranie ceglanych sklepień odcinkowych o grubości 1/2 cegły na zaprawie cementowo-wapiennej</t>
  </si>
  <si>
    <t>KNR 19-01 0320-02 analogia</t>
  </si>
  <si>
    <t>Uzupełnienie ceramicznych stropów gr. 1/2 cegły</t>
  </si>
  <si>
    <t>KNR 2-02 0216-01 analogia</t>
  </si>
  <si>
    <t>Żelbetowe płyty stropowe, grubości 8 cm - z zastosowaniem pompy do betonu</t>
  </si>
  <si>
    <t>Siatka #8 oczko 10x10</t>
  </si>
  <si>
    <t>m</t>
  </si>
  <si>
    <t>PIWNICA</t>
  </si>
  <si>
    <t>2.1</t>
  </si>
  <si>
    <t>Roboty rozbiórkowe</t>
  </si>
  <si>
    <t>Rozbiórka elementów konstrukcji betonowych zbrojonych - schody</t>
  </si>
  <si>
    <t>KNR 4-01 0349-02</t>
  </si>
  <si>
    <t>Rozebranie ścian z cegieł na zaprawie cementowo-wapiennej</t>
  </si>
  <si>
    <t>KNR 4-01 0354-04 analogia</t>
  </si>
  <si>
    <t>Wykucie z muru ościeżnic - drzwi</t>
  </si>
  <si>
    <t>szt.</t>
  </si>
  <si>
    <t>KNR 4-01 0212-02</t>
  </si>
  <si>
    <t>Rozbiórka elementów konstrukcji betonowych niezbrojonych o grubości ponad 15 cm - podłoga na gruncie</t>
  </si>
  <si>
    <t>KNR 2-01 0307-01</t>
  </si>
  <si>
    <t>Roboty ziemne z przewozem gruntu taczkami na odległość do 10 m (kat. gruntu I-II)</t>
  </si>
  <si>
    <t>KNR 4-01 0106-05</t>
  </si>
  <si>
    <t>2.2</t>
  </si>
  <si>
    <t>KNR 0-40 0201-10</t>
  </si>
  <si>
    <t>Wykonanie poziomej izolacji przeciwwilgociowej metodą iniekcji bezciśnieniowej w murze z cegły o normalnej twardości o gr. pow. 65-70 cm</t>
  </si>
  <si>
    <t>2.3</t>
  </si>
  <si>
    <t>KNR-W 2-02 1103-01</t>
  </si>
  <si>
    <t>Podkłady z ubitych materiałów sypkich w budownictwie mieszkaniowym i użyteczności publicznej na podłożu gruntowym</t>
  </si>
  <si>
    <t>KNR-W 2-02 1101-03</t>
  </si>
  <si>
    <t>KNR-W 2-02 0608-03</t>
  </si>
  <si>
    <t>KNR-W 2-02 0606-01</t>
  </si>
  <si>
    <t>Izolacje przeciwwilgociowe i przeciwwodne z folii polietylenowej szerokiej - poziome podposadzkowe</t>
  </si>
  <si>
    <t>NNRNKB 202 1129-02</t>
  </si>
  <si>
    <t>(z.VI) Posadzki cementowe grub. 2 cm zatarte na gładko wraz z cokolikami wykonywane przy użyciu "Miksokreta" w pomieszczeniach o pow.ponad 8 m2</t>
  </si>
  <si>
    <t>NNRNKB 202 1129-03</t>
  </si>
  <si>
    <t>(z.VI) Posadzki cementowe wraz z cokolikami wykonywane przy użyciu "Miksokreta" w pomieszczeniach o pow.ponad 8 m2 - dod.za zmianę grubości o 1 cm Krotność = 3</t>
  </si>
  <si>
    <t>KNR AT-23 0101-02</t>
  </si>
  <si>
    <t>Przygotowanie podłoża pod wykonanie okładzin podłogowych - jednokrotne gruntowanie podłoża pod kleje cementowe</t>
  </si>
  <si>
    <t>2.4</t>
  </si>
  <si>
    <t>Roboty wykończeniowe - ściany, strop</t>
  </si>
  <si>
    <t>KNR AT-12 0103-06</t>
  </si>
  <si>
    <t>Ścianki działowe z płyt gipsowo-kartonowych na pojedynczej konstrukcji nośnej, z pokryciem obustronnym dwuwarstwowym</t>
  </si>
  <si>
    <t>KNR-W 2-02 1510-05</t>
  </si>
  <si>
    <t>Dwukrotne malowanie farbami lateksowymi powierzchni wewnętrznych - płyt gipsowych spoinowanych szpachlowanych z gruntowaniem</t>
  </si>
  <si>
    <t>KNR 4-01 0701-04</t>
  </si>
  <si>
    <t>Odbicie tynków wewnętrznych z zaprawy wapiennej na ścianach, filarach, pilastrach o powierzchni odbicia ponad 5 m2</t>
  </si>
  <si>
    <t>Usunięcie z piwnic budynku gruzu</t>
  </si>
  <si>
    <t>KNR 9-13 0101-01</t>
  </si>
  <si>
    <t>Zmycie myjką ciśnieniową</t>
  </si>
  <si>
    <t>KNR 0-40 0209-03</t>
  </si>
  <si>
    <t>Przygotowanie podłoża pod tynki - warstwa sczepna; wykonanie obrzutki maszynowo, nakładanie zaprawy kryjąco</t>
  </si>
  <si>
    <t>KNR 0-40 0211-01</t>
  </si>
  <si>
    <t>Tynki renowacyjne jednowarstwowe o gr. 1 cm wykonywane mechanicznie</t>
  </si>
  <si>
    <t>KNR 0-40 0211-02</t>
  </si>
  <si>
    <t>Tynki renowacyjne wykonywane mechanicznie - dodatek za każde 0,5 cm grubości tynku Krotność = 3</t>
  </si>
  <si>
    <t>KNR 0-40 0212-02</t>
  </si>
  <si>
    <t>Wykończenie powierzchni - gruntowanie pod powłoki malarskie</t>
  </si>
  <si>
    <t>KNR 0-40 0212-04</t>
  </si>
  <si>
    <t>Wykończenie powierzchni - wykonanie powłoki malarskiej - dwukrotne</t>
  </si>
  <si>
    <t>2.5</t>
  </si>
  <si>
    <t>KNR 2-01 0236-01</t>
  </si>
  <si>
    <t>PARTER</t>
  </si>
  <si>
    <t>3.1</t>
  </si>
  <si>
    <t>KNR 4-01 0354-05 analogia</t>
  </si>
  <si>
    <t>Demontaż okien</t>
  </si>
  <si>
    <t>KNR 4-01 0354-12</t>
  </si>
  <si>
    <t>Wykucie z muru podokienników betonowych z lastryko</t>
  </si>
  <si>
    <t>3.2</t>
  </si>
  <si>
    <t>NNRNKB 202 1130-02</t>
  </si>
  <si>
    <t>Warstwy wyrównujące i wygładzające z zaprawy samopoziomującej grubości 5 mm wykonywane w pomieszczeniach o pow. ponad 8 m2</t>
  </si>
  <si>
    <t>NNRNKB 202 1134-01</t>
  </si>
  <si>
    <t>Gruntowanie podłoży - powierzchnie poziome</t>
  </si>
  <si>
    <t>KNR 2-02 1113-06</t>
  </si>
  <si>
    <t>Cokoliki przyścienne z PCW przewodzącego klejone na wys. 10cm</t>
  </si>
  <si>
    <t>KNR 2-02 1113-06 analogia</t>
  </si>
  <si>
    <t>szt</t>
  </si>
  <si>
    <t>kpl</t>
  </si>
  <si>
    <t>3.3</t>
  </si>
  <si>
    <t>Roboty murowe i tynkowe</t>
  </si>
  <si>
    <t>KNR 4-01 0304-01 analogia</t>
  </si>
  <si>
    <t>Uzupełnienie ścian lub zamurowanie otworów w ścianach na zaprawie cementowo-wapiennej cegłami</t>
  </si>
  <si>
    <t>KNR-W 2-02 0128-07</t>
  </si>
  <si>
    <t>Wentylacyjne kanały z pustaków betonowych - pustak 2K</t>
  </si>
  <si>
    <t>Wentylacyjne kanały z pustaków betonowych - pustak 3K</t>
  </si>
  <si>
    <t>Wentylacyjne kanały z pustaków betonowych - pustak 4K</t>
  </si>
  <si>
    <t>KNR-W 2-02 0128-06</t>
  </si>
  <si>
    <t>Komin spalinowy fi 180</t>
  </si>
  <si>
    <t>KNR 4-01 0106-04</t>
  </si>
  <si>
    <t>Usunięcie z parteru budynku gruzu</t>
  </si>
  <si>
    <t>KNR-W 2-02 0801-02</t>
  </si>
  <si>
    <t>3.4</t>
  </si>
  <si>
    <t>KNR 2-02 2103-03 analogia</t>
  </si>
  <si>
    <t>KNR 2-02 2009-04</t>
  </si>
  <si>
    <t>Tynki (gładzie) jednowarstwowe wewnętrzne gr. 3 mm z gipsu szpachlowego wykonywane ręcznie na stropach na podłożu z tynku</t>
  </si>
  <si>
    <t>KNR 2-02 2009-02</t>
  </si>
  <si>
    <t>Tynki (gładzie) jednowarstwowe wewnętrzne gr. 3 mm z gipsu szpachlowego wykonywane ręcznie na ścianach na podłożu z tynku</t>
  </si>
  <si>
    <t>KNR AT-22 0101-02</t>
  </si>
  <si>
    <t>Przygotowanie podłoża pod wykonanie okładzin ściennych - jednokrotne gruntowanie podłoża pod kleje cementowe</t>
  </si>
  <si>
    <t>KNR AT-22 0204-06</t>
  </si>
  <si>
    <t>KNR-W 2-02 1510-03</t>
  </si>
  <si>
    <t>Dwukrotne malowanie farbami lateksowymii powierzchni wewnętrznych - podłoży gipsowych z gruntowaniem - ściany</t>
  </si>
  <si>
    <t>Dwukrotne malowanie farbami lateksowymii powierzchni wewnętrznych - podłoży gipsowych z gruntowaniem - sufit</t>
  </si>
  <si>
    <t>TZKNBK XXII 0808-01</t>
  </si>
  <si>
    <t>Balustrada schodowa</t>
  </si>
  <si>
    <t>PIĘTRO I</t>
  </si>
  <si>
    <t>4.1</t>
  </si>
  <si>
    <t>KNR 4-04 0405-01</t>
  </si>
  <si>
    <t>Rozebranie drewnianych podłóg ślepych</t>
  </si>
  <si>
    <t>KNR 4-04 0406-03</t>
  </si>
  <si>
    <t>Rozebranie podsufitek z desek otynkowanych</t>
  </si>
  <si>
    <t>KNR 4-04 0406-02</t>
  </si>
  <si>
    <t>Rozebranie stropów drewnianych - ślepe pułapy</t>
  </si>
  <si>
    <t>KNR 4-04 0406-05</t>
  </si>
  <si>
    <t>Rozebranie belek stropowych</t>
  </si>
  <si>
    <t>KNR 4-04 0402-04</t>
  </si>
  <si>
    <t>Rozebranie schodów (biegów) o konstrukcji drewnianej - odcinek biegu ponad 8 stopni</t>
  </si>
  <si>
    <t>KNR AT-31 0101-05 kalk. własna</t>
  </si>
  <si>
    <t>Usunięcie docieplenia, wsp do R-0,3</t>
  </si>
  <si>
    <t>4.2</t>
  </si>
  <si>
    <t>Posadzka</t>
  </si>
  <si>
    <t>KNR-W 2-02 0612-03</t>
  </si>
  <si>
    <t>Izolacje cieplne i przeciwdźwiękowe z wełny mineralnej poziome z płyt układanych na sucho - jedna warstwa - wełna mineralna gr. 8 cm</t>
  </si>
  <si>
    <t>Izolacje przeciwwilgociowe i przeciwwodne z folii polietylenowej szerokiej - poziome podposadzkowe Krotność = 2</t>
  </si>
  <si>
    <t>(z.VI) Posadzki cementowe wraz z cokolikami wykonywane przy użyciu "Miksokreta" w pomieszczeniach o pow.ponad 8 m2 - dod.za zmianę grubości o 1 cm Krotność = 2</t>
  </si>
  <si>
    <t>4.3</t>
  </si>
  <si>
    <t>Usunięcie z piętra budynku gruzu</t>
  </si>
  <si>
    <t>4.4</t>
  </si>
  <si>
    <t>PIĘTRO II</t>
  </si>
  <si>
    <t>5.1</t>
  </si>
  <si>
    <t>5.2</t>
  </si>
  <si>
    <t>5.3</t>
  </si>
  <si>
    <t>5.4</t>
  </si>
  <si>
    <t>Roboty wykończeniowe - ściany, sufit</t>
  </si>
  <si>
    <t>KNR AT-12 0203-01</t>
  </si>
  <si>
    <t>KNR-W 2-02 2004-07</t>
  </si>
  <si>
    <t>6.1</t>
  </si>
  <si>
    <t>KNR 4-04 0507-01</t>
  </si>
  <si>
    <t>Rozebranie pojedynczego pokrycia dachowego z dachówki karpiówki</t>
  </si>
  <si>
    <t>KNR 4-04 0509-02</t>
  </si>
  <si>
    <t>Rozebranie pokrycia dachowego z papy na deskowaniu na zakład</t>
  </si>
  <si>
    <t>KNR 4-04 0506-05</t>
  </si>
  <si>
    <t>Rozebranie rynien z blachy nie nadającej się do użytku</t>
  </si>
  <si>
    <t>KNR 4-04 0506-06</t>
  </si>
  <si>
    <t>Rozebranie rur z blachy nie nadającej się do użytku</t>
  </si>
  <si>
    <t>KNR 4-04 0506-04</t>
  </si>
  <si>
    <t>Rozebranie obróbek blacharskich</t>
  </si>
  <si>
    <t>KNR 4-04 0403-02</t>
  </si>
  <si>
    <t>Rozebranie konstrukcji więźb dachowych - deskowanie dachu na styk</t>
  </si>
  <si>
    <t>KNR 4-04 0403-03</t>
  </si>
  <si>
    <t>Rozebranie konstrukcji więźb dachowych - ołacenie dachu</t>
  </si>
  <si>
    <t>KNR 4-04 0403-05</t>
  </si>
  <si>
    <t>Rozebranie konstrukcji więźb dachowych ze stolcami</t>
  </si>
  <si>
    <t>KNR 9-12 0204-03</t>
  </si>
  <si>
    <t>KNR 2-02 0410-03</t>
  </si>
  <si>
    <t>Ołacenie połaci dachowych łatami 40x60 mm o rozstawie 16-24 cm z tarcicy nasyconej</t>
  </si>
  <si>
    <t>KNR-W 2-02 0513-02 analogia</t>
  </si>
  <si>
    <t>KNR 2-02 0410-01</t>
  </si>
  <si>
    <t>Deskowanie połaci dachowych - Płyta OSB 25 mm</t>
  </si>
  <si>
    <t>KNR-W 2-02 0504-02</t>
  </si>
  <si>
    <t>Pokrycie dachów papą termozgrzewalną dwuwarstwowe</t>
  </si>
  <si>
    <t>KNR-W 2-02 0504-03</t>
  </si>
  <si>
    <t>Pokrycie dachów papą termozgrzewalną - obróbki z papy nawierzchniowej</t>
  </si>
  <si>
    <t>NNRNKB 202 0541-02 analogia</t>
  </si>
  <si>
    <t>Obróbki blacharskie z blachy powlekanej o szer.w rozwinięciu ponad 25 cm - pasy rynnowe</t>
  </si>
  <si>
    <t>Obróbki blacharskie z blachy powlekanej o szer.w rozwinięciu ponad 25 cm - połączenie dachów</t>
  </si>
  <si>
    <t>Obróbki blacharskie z blachy powlekanej o szer.w rozwinięciu ponad 25 cm - wiatrownice</t>
  </si>
  <si>
    <t>Obróbki blacharskie z blachy powlekanej o szer.w rozwinięciu ponad 25 cm - lukarn</t>
  </si>
  <si>
    <t>Obróbki blacharskie z blachy powlekanej o szer.w rozwinięciu ponad 25 cm - kominy, klapa, szyb windy</t>
  </si>
  <si>
    <t>KNR-W 2-02 0522-02</t>
  </si>
  <si>
    <t>Rynny dachowe półokrągłe o śr. 15 cm - montaż z gotowych elementów z blachy stalowej ocynkowanej powlekanej</t>
  </si>
  <si>
    <t>KNR-W 2-02 0529-02</t>
  </si>
  <si>
    <t>Płyta pod obudowę kominów</t>
  </si>
  <si>
    <t>Przygotowanie i montaż zbrojenia elementów budynków i budowli - pręty żebrowane</t>
  </si>
  <si>
    <t>KNR 2-02 0117-14 analogia</t>
  </si>
  <si>
    <t>Oblicowanie kominów</t>
  </si>
  <si>
    <t>Płyta nakrywowa na kominy</t>
  </si>
  <si>
    <t>Deskowanie połaci dachowych - Płyta OSB 25 mm - lukarny</t>
  </si>
  <si>
    <t>Membrana dachowa - lukarny</t>
  </si>
  <si>
    <t>KNR-W 2-02 0509-02</t>
  </si>
  <si>
    <t>Pokrycie dachów blachą na rąbek stojący - lukarny</t>
  </si>
  <si>
    <t>ELEMENTY ZEWNETRZNE, SCHODY, ZADASZENIE</t>
  </si>
  <si>
    <t>KNR AT-23 0206-03</t>
  </si>
  <si>
    <t>Budki lęgowe</t>
  </si>
  <si>
    <t>Zabezpieczenie drzwi i zejścia do piwnicy stałymi panelami przeciwpowodziowymi</t>
  </si>
  <si>
    <t>KNR 2-31 0807-03 analogia</t>
  </si>
  <si>
    <t>Rozebranie nawierzchni z kostki betonowej 14x12 cm lub żużlowej 14x14 cm na podsypce cementowo-piaskowej z wypełnieniem spoin zaprawą cementową</t>
  </si>
  <si>
    <t>KNR 2-31 0802-07</t>
  </si>
  <si>
    <t>Mechaniczne rozebranie podbudowy z kruszywa kamiennego o grubości 15 cm</t>
  </si>
  <si>
    <t>KNR 2-31 0802-08</t>
  </si>
  <si>
    <t>Mechaniczne rozebranie podbudowy z kruszywa kamiennego - dalszy 1 cm grubości Krotność = 10</t>
  </si>
  <si>
    <t>Wywóz gruzu</t>
  </si>
  <si>
    <t>KNR 0-17 2608-01 analogia</t>
  </si>
  <si>
    <t>KNR AT-27 0101-03</t>
  </si>
  <si>
    <t>Gruntowanie ręczne</t>
  </si>
  <si>
    <t>KNR 0-40 0102-01</t>
  </si>
  <si>
    <t>Wykonanie fasety uszczelniającej o promieniu 5 cm na styku fundamentu i ściany</t>
  </si>
  <si>
    <t>KNR-W 2-02 0606-01 analogia</t>
  </si>
  <si>
    <t>Izolacje z folii polietylenowej</t>
  </si>
  <si>
    <t>KNR 4-01 0105-01</t>
  </si>
  <si>
    <t>Zasypanie wykopów ziemią z ukopów z przerzutem ziemi na odległość do 3 m i ubiciem warstwami co 15 cm w gruncie kat. I-II</t>
  </si>
  <si>
    <t>Zagęszczenie nasypów ubijakami mechanicznymi; grunty sypkie kat. I-III</t>
  </si>
  <si>
    <t>KNR 2-31 0114-05</t>
  </si>
  <si>
    <t>Podbudowa z kruszywa łamanego - warstwa dolna o grubości po zagęszczeniu 15 cm - pod kostkę</t>
  </si>
  <si>
    <t>KNR 2-31 0114-07</t>
  </si>
  <si>
    <t>Podbudowa z kruszywa łamanego - warstwa górna o grubości po zagęszczeniu 8 cm - pod kostkę</t>
  </si>
  <si>
    <t>KNR 2-31 0114-08</t>
  </si>
  <si>
    <t>Podbudowa z kruszywa łamanego - warstwa górna - za każdy dalszy 1 cm grubości po zagęszczeniu - pod kostkę Krotność = 2</t>
  </si>
  <si>
    <t>KNR 2-31 0511-03</t>
  </si>
  <si>
    <t>Nawierzchnie z kostki brukowej betonowej grubość 8 cm na podsypce cementowo-piaskowej - 70 % materiału z demontażu</t>
  </si>
  <si>
    <t>Usunięcie z elewacji parapetów, obróbek, haków, wsporników, kabli, tablic i innych zbędnych  elementów</t>
  </si>
  <si>
    <t>Przygotowanie podłoża pod ocieplenie metodą lekką-mokrą - oczyszczenie mechaniczne i zmycie</t>
  </si>
  <si>
    <t>KNR 0-17 2608-03 analogia</t>
  </si>
  <si>
    <t>Przygotowanie podłoża pod ocieplenie metodą lekką-mokrą - gruntowanie preparatem wzmacniającym jednokrotnie</t>
  </si>
  <si>
    <t>KNR AT-31 0104-01</t>
  </si>
  <si>
    <t>Przyklejanie płyt z wełny mineralnej o gr. 2 cm na ościeżach</t>
  </si>
  <si>
    <t>KNR AT-31 0103-06</t>
  </si>
  <si>
    <t>Wykonanie warstwy zbrojonej na ścianach</t>
  </si>
  <si>
    <t>KNR AT-31 0104-04</t>
  </si>
  <si>
    <t>Wykonanie warstwy zbrojonej na ościeżach</t>
  </si>
  <si>
    <t>KNR AT-31 0702-01</t>
  </si>
  <si>
    <t>Ochrona narożników wypukłych przy użyciu profilu narożnikowego</t>
  </si>
  <si>
    <t>KNR AT-31 0503-01</t>
  </si>
  <si>
    <t>Tynk elewacyjny cienkowarstwowy silikonowo - silikatowy wykonany ręcznie; warstwa pośrednia na ścianach</t>
  </si>
  <si>
    <t>KNR AT-31 0503-02</t>
  </si>
  <si>
    <t>Tynk elewacyjny cienkowarstwowy silikonowo - silikatowy ręcznie; warstwa pośrednia na ościeżach</t>
  </si>
  <si>
    <t>KNR AT-31 0503-03</t>
  </si>
  <si>
    <t>Tynk elewacyjny cienkowarstwowy silikonowo - silikatowy ręcznie na ścianach</t>
  </si>
  <si>
    <t>KNR AT-31 0503-04</t>
  </si>
  <si>
    <t>Tynk elewacyjny cienkowarstwowy silikonowo - silikatowy ręcznie na ościeżach</t>
  </si>
  <si>
    <t>Obróbki blacharskie z blachy powlekanej o szer.w rozwinięciu ponad 25 cm - parapety</t>
  </si>
  <si>
    <t>KNR AT-31 0101-06</t>
  </si>
  <si>
    <t>ELEWACJA FRONTOWA</t>
  </si>
  <si>
    <t>Skucie tynków cementowo-wapiennych i cementowych</t>
  </si>
  <si>
    <t>KNR AT-32 0601-06</t>
  </si>
  <si>
    <t>Wyprawy tynkarskie renowacyjne wykonywane na zawilgoconych i/lub zasolonych ścianach sposobem ręcznym; tynk dwuwarstwowy grubości 10+15=25 mm, pierwsza warstwa z tyku podkładowego, druga z tynku wykończeniowego</t>
  </si>
  <si>
    <t>KNR AT-32 0603-01</t>
  </si>
  <si>
    <t>Wyprawy tynkarskie z zaprawy szpachlowej do renowacji fasad grubości 2 mm wykonywane sposobem ręcznym bez siatki zbrojeniowej</t>
  </si>
  <si>
    <t>KNR AT-26 0102-01</t>
  </si>
  <si>
    <t>KNR AT-31 0601-02</t>
  </si>
  <si>
    <t>Malowanie elewacji</t>
  </si>
  <si>
    <t>Rekonstrukcja gzymsów i detalu sztukatorskiego wg opisu technicznego</t>
  </si>
  <si>
    <t>KNR-W 2-02 2008-02</t>
  </si>
  <si>
    <t>KNR-W 2-02 1001-02</t>
  </si>
  <si>
    <t>Okna drewniane zespolone wzmocnione mieszkaniowe fabrycznie wykończone o powierzchni do 2.0 m2 - okno Ok 1</t>
  </si>
  <si>
    <t>Okna drewniane zespolone wzmocnione mieszkaniowe fabrycznie wykończone o powierzchni do 2.0 m2 - okno Ok 1.1 EI 60</t>
  </si>
  <si>
    <t>Okna drewniane zespolone wzmocnione mieszkaniowe fabrycznie wykończone o powierzchni do 2.0 m2 - okno Ok 2</t>
  </si>
  <si>
    <t>Okna drewniane zespolone wzmocnione mieszkaniowe fabrycznie wykończone o powierzchni do 2.0 m2 - okno Ok 5 EI 60</t>
  </si>
  <si>
    <t>NNRNKB 202 1027-01</t>
  </si>
  <si>
    <t>kpl.</t>
  </si>
  <si>
    <t>Okno dachowe OD2 - 90x90</t>
  </si>
  <si>
    <t>Okno dachowe OD3 - 90x120</t>
  </si>
  <si>
    <t>Okno dachowe OD4 - 80x80</t>
  </si>
  <si>
    <t>Wyłaz dachowy OD5 - 80x80</t>
  </si>
  <si>
    <t>STOLARKA DRZWIOWA</t>
  </si>
  <si>
    <t>KNR-W 2-02 1027-05 analogia</t>
  </si>
  <si>
    <t>KNR-W 2-02 1020-01 kalk. własna</t>
  </si>
  <si>
    <t>KNR 2-31 0101-01</t>
  </si>
  <si>
    <t>Mechaniczne wykonanie koryta na całej szerokości jezdni i chodników w gruncie kat. I-IV głębokości 20 cm</t>
  </si>
  <si>
    <t>KNR 2-31 0101-02</t>
  </si>
  <si>
    <t>Mechaniczne wykonanie koryta na całej szerokości jezdni i chodników w gruncie kat. I-IV - za każde dalsze 5 cm głębokości Krotność = 4.6</t>
  </si>
  <si>
    <t>Załadunek ziemi</t>
  </si>
  <si>
    <t>Wywóz ziemi</t>
  </si>
  <si>
    <t>KNR 2-31 0401-03</t>
  </si>
  <si>
    <t>Rowki pod krawężniki i ławy krawężnikowe o wymiarach 30x30 cm w gruncie kat.I-II</t>
  </si>
  <si>
    <t>KNR 2-31 0402-03</t>
  </si>
  <si>
    <t>Ława pod obrzeże</t>
  </si>
  <si>
    <t>KNR 2-31 0407-04</t>
  </si>
  <si>
    <t>Obrzeża betonowe o wymiarach 30x8 cm na podsypce piaskowej z wypełnieniem spoin zaprawą cementową</t>
  </si>
  <si>
    <t>KNR 2-31 0402-04</t>
  </si>
  <si>
    <t>Ława pod krawężniki betonowa z oporem</t>
  </si>
  <si>
    <t>KNR 2-31 0403-04</t>
  </si>
  <si>
    <t>Krawężniki betonowe wystające o wymiarach 20x30 cm na podsypce cementowo-piaskowej</t>
  </si>
  <si>
    <t>Podbudowa z kruszywa łamanego - warstwa dolna o grubości po zagęszczeniu 15 cm</t>
  </si>
  <si>
    <t>KNR 2-31 0114-06</t>
  </si>
  <si>
    <t>Podbudowa z kruszywa łamanego - warstwa dolna - za każdy dalszy 1 cm grubości po zagęszczeniu Krotność = 5</t>
  </si>
  <si>
    <t>Podbudowa z kruszywa łamanego - warstwa górna o grubości po zagęszczeniu 8 cm</t>
  </si>
  <si>
    <t>Podbudowa z kruszywa łamanego - warstwa górna - za każdy dalszy 1 cm grubości po zagęszczeniu Krotność = 7</t>
  </si>
  <si>
    <t>KNR 2-31 0105-07</t>
  </si>
  <si>
    <t>Podsypka cementowo-piaskowa z zagęszczeniem mechanicznym - 3 cm grubość warstwy po zagęszczeniu</t>
  </si>
  <si>
    <t>KNR 2-31 0105-08</t>
  </si>
  <si>
    <t>Podsypka cementowo-piaskowa z zagęszczeniem mechanicznym - za każdy dalszy 1 cm grubość warstwy po zagęszczeniu Krotność = 2</t>
  </si>
  <si>
    <t>Nawierzchnie z kostki brukowej betonowej o grubości 8 cm na podsypce cementowo-piaskowej</t>
  </si>
  <si>
    <t>Nawierzchnie z geokraty</t>
  </si>
  <si>
    <t>KNR-W 2-02 1103-01 analogia</t>
  </si>
  <si>
    <t>Nawierzchnia żwirowa</t>
  </si>
  <si>
    <t>Brama wejściowa + furtką - dostawa i montaż</t>
  </si>
  <si>
    <t>KNR 2-21 0206-01 analogia</t>
  </si>
  <si>
    <t>Przygotowanie gleby pod siew trawy</t>
  </si>
  <si>
    <t>KNR 2-21 0109-03</t>
  </si>
  <si>
    <t>Przygotowanie mieszanek do nawożenia gleby z ziemi urodzajnej oraz torfu</t>
  </si>
  <si>
    <t>KNR 2-21 0218-02</t>
  </si>
  <si>
    <t>Rozścielenie ziemi urodzajnej ręczne z transportem taczkami na terenie płaskim</t>
  </si>
  <si>
    <t>KNR 2-21 0401-04</t>
  </si>
  <si>
    <t>Wykonanie trawników dywanowych siewem na gruncie kat. I-II z nawożeniem</t>
  </si>
  <si>
    <t>1.1</t>
  </si>
  <si>
    <t>KNR 4-04 0509-03</t>
  </si>
  <si>
    <t>Rozebranie pokrycia dachowego z papy na betonie na zakład</t>
  </si>
  <si>
    <t>KNR 4-04 0305-02</t>
  </si>
  <si>
    <t>Rozebranie stropów żelbetowych (płyt, belek, żeber, wieńców) przy grubości płyty stropowej do 15 cm</t>
  </si>
  <si>
    <t>Wykucie z muru ościeżnic - okno</t>
  </si>
  <si>
    <t>Wykucie z muru ościeżnic drewnianych o powierzchni ponad 2 m2 - brama</t>
  </si>
  <si>
    <t xml:space="preserve">BUDYNEK NR 5 </t>
  </si>
  <si>
    <t>KNR 4-04 0403-04</t>
  </si>
  <si>
    <t>Rozebranie konstrukcji więźb dachowych prostych</t>
  </si>
  <si>
    <t>KNR 4-04 0404-02</t>
  </si>
  <si>
    <t>Rozebranie ścian zewnętrznych z bali</t>
  </si>
  <si>
    <t>KNR 4-04 0406-01</t>
  </si>
  <si>
    <t>Rozebranie stropów drewnianych - zasypki stropowe</t>
  </si>
  <si>
    <t>KNR 4-04 0510-02</t>
  </si>
  <si>
    <t>Rozebranie pieców i trzonów kuchennych oblicowanych kaflami</t>
  </si>
  <si>
    <t>Kotłownia</t>
  </si>
  <si>
    <t>Roboty demontażowe</t>
  </si>
  <si>
    <t>1.2</t>
  </si>
  <si>
    <t>Roboty montażowe</t>
  </si>
  <si>
    <t>KNR 7-08 0201-02 analogia</t>
  </si>
  <si>
    <t>ukł.</t>
  </si>
  <si>
    <t>Sterownik 1 obiegu grzewczego z mieszaczem</t>
  </si>
  <si>
    <t>KNNR 4 0502-01 analogia</t>
  </si>
  <si>
    <t>Kocioł kondensacyjny  35 kW 6,3-35 (80/60°C) KW 108,3 % sprawności</t>
  </si>
  <si>
    <t>kocioł</t>
  </si>
  <si>
    <t>KNR 7-07 0102-01</t>
  </si>
  <si>
    <t>Pompa elektroniczna 25/1-6 V=1,7 m3/h H=3 mH20 moc 85W</t>
  </si>
  <si>
    <t>KNNR 4 0524-02</t>
  </si>
  <si>
    <t>Zawór bezpieczeństwa Syr 1915 3/4 " 3 bar</t>
  </si>
  <si>
    <t>KNNR 4 0526-03 analogia</t>
  </si>
  <si>
    <t>Sprzęgło hydrauliczne Dn32 V=3,5 m3/h</t>
  </si>
  <si>
    <t>Pompa elektroniczna 25/1-6 V=1,7 m3/h H=3,5 mH20 moc 85W</t>
  </si>
  <si>
    <t>KNNR 4 0519-02 analogia</t>
  </si>
  <si>
    <t>Zawór trójdrogowy Dn25 z siłownikiem 230V    wsp. do R-1,5</t>
  </si>
  <si>
    <t>Pompa elektroniczna 25/1-6 V=1 m3/h H=3 mH20 moc 75W</t>
  </si>
  <si>
    <t>Pompa CYR  20/4 V=0,5 m3/h H=2,5 mH20 moc 65W</t>
  </si>
  <si>
    <t>KNNR 4 0506-02</t>
  </si>
  <si>
    <t>Zasobnik z izolacją 300l wężownicą 1,6m2</t>
  </si>
  <si>
    <t>Zawór bezpiecz. dla CWU 2115  3/4" 6bar</t>
  </si>
  <si>
    <t>KNNR 4 0511-02</t>
  </si>
  <si>
    <t>Naczynie wzbiorcze isntalacji CO 50l 6bar</t>
  </si>
  <si>
    <t>KNNR 4 0511-01</t>
  </si>
  <si>
    <t>Naczynie przeponowe przepływowe CWU o poj 33l</t>
  </si>
  <si>
    <t>KNNR 4 0519-04</t>
  </si>
  <si>
    <t>Zawór odcinający Dn 32</t>
  </si>
  <si>
    <t>Filtr siatkowy Dn 32</t>
  </si>
  <si>
    <t>Zawór zwrotny Dn 32</t>
  </si>
  <si>
    <t>KNNR 4 0519-03</t>
  </si>
  <si>
    <t>Zawór odcinający Dn 25</t>
  </si>
  <si>
    <t>Zawór zwrotny Dn 25</t>
  </si>
  <si>
    <t>Filtr siatkowy Dn 25</t>
  </si>
  <si>
    <t>KNR 0-35 0222-02</t>
  </si>
  <si>
    <t>Licznik ciepła V= 2,5 m3/h kompakt komplet z wyjściem mbus</t>
  </si>
  <si>
    <t>KNNR 4 0142-01 analogia</t>
  </si>
  <si>
    <t>Szafka gazowa</t>
  </si>
  <si>
    <t>KNNR 4 0312-03</t>
  </si>
  <si>
    <t>Zawór odcinający do gazu DN 25</t>
  </si>
  <si>
    <t>Filtr do gazu DN 25</t>
  </si>
  <si>
    <t>KNNR 4 0304-06</t>
  </si>
  <si>
    <t>Bufor gazu</t>
  </si>
  <si>
    <t>KNNR 4 0519-05</t>
  </si>
  <si>
    <t>Zawór odcinający do wody użytkowe DN40</t>
  </si>
  <si>
    <t>KNNR 4 0140-03</t>
  </si>
  <si>
    <t>KNNR 4 0122-01</t>
  </si>
  <si>
    <t>Dodatki za wykonanie obustronnych podejść do wodomierzy skrzydełkowych domowych o śr. nominalnej 25 mm w rurociągach stalowych</t>
  </si>
  <si>
    <t>Filtr do wody użytkowej DN 40</t>
  </si>
  <si>
    <t>KNR 0-35 0132-05</t>
  </si>
  <si>
    <t>Zawór zwrotny antyskażeniowy klasy EA DN 40</t>
  </si>
  <si>
    <t>Zawór zwrotny  do wody użytkowej  DN40</t>
  </si>
  <si>
    <t>Zawór odcinający do wody użytkowej Dn 25</t>
  </si>
  <si>
    <t>Zawór zwrotny  do wody użytkowej Dn 25</t>
  </si>
  <si>
    <t>KNR 0-35 0132-03 analogia</t>
  </si>
  <si>
    <t>Zawór zwrotny antyskażeniowy klasy CA DN 25</t>
  </si>
  <si>
    <t>KNNR 4 0514-02</t>
  </si>
  <si>
    <t>Rozdzielacz DN 80</t>
  </si>
  <si>
    <t>KNNR 4 0519-02</t>
  </si>
  <si>
    <t>Zawór spustowy DN 20</t>
  </si>
  <si>
    <t>KNNR 4 0531-03</t>
  </si>
  <si>
    <t>Termometr  0-100 °C</t>
  </si>
  <si>
    <t>KNNR 4 0531-04</t>
  </si>
  <si>
    <t>Manometr 0-10 bar</t>
  </si>
  <si>
    <t>KNR 0-35 0215-09</t>
  </si>
  <si>
    <t>Odpowietrzniki automatyczne; śr. nom. 15 mm</t>
  </si>
  <si>
    <t>KNNR 4 0519-01</t>
  </si>
  <si>
    <t>Zawór kulowy DN 15</t>
  </si>
  <si>
    <t>KNNR 4 0403-03</t>
  </si>
  <si>
    <t>Rurociągi w instalacjach c.o. stalowe o śr. nominalnej 25 mm o połączeniach spawanych na ścianach w budynkach</t>
  </si>
  <si>
    <t>KNNR 4 0403-04</t>
  </si>
  <si>
    <t>Rurociągi w instalacjach c.o. stalowe o śr. nominalnej 32 mm o połączeniach spawanych na ścianach w budynkach</t>
  </si>
  <si>
    <t>KNNR 4 0406-02</t>
  </si>
  <si>
    <t>Próby szczelności instalacji c.o. z rur stalowych i miedzianych w budynkach niemieszkalnych</t>
  </si>
  <si>
    <t>KNR 7-12 0101-04</t>
  </si>
  <si>
    <t>Czyszczenie przez szczotkowanie ręczne do trzeciego stopnia czystości rurociągów o śr.zewn.do 57 mm</t>
  </si>
  <si>
    <t>KNR 7-12 0105-04</t>
  </si>
  <si>
    <t>Odtłuszczanie rurociągów</t>
  </si>
  <si>
    <t>KNR 7-12 0207-04</t>
  </si>
  <si>
    <t>Malowanie 2 x pędzlem farbami do gruntowania termoodpornymi rurociągów o śr.zewn.do 57 mm</t>
  </si>
  <si>
    <t>KNR 7-12 0215-04</t>
  </si>
  <si>
    <t>Malowanie 2 x pędzlem emaliami termoodpornymi rurociągów o śr.zewn.do 57 mm</t>
  </si>
  <si>
    <t>KNZ 15 27-04 analogia</t>
  </si>
  <si>
    <t>Montaż otulin termoizolacyjnych z wełny mineralnej z płaszczem PCV  dla rurociągów o śr. 25 mm, gr. izolacji 25 mm</t>
  </si>
  <si>
    <t>KNZ 15 28-05 analogia</t>
  </si>
  <si>
    <t>Montaż otulin termoizolacyjnych z wełny mineralnej z płaszczem PCV  dla rurociągów o śr. 32 mm, gr. izolacji 30 mm</t>
  </si>
  <si>
    <t>KNNR 4 0112-04</t>
  </si>
  <si>
    <t>Rura PP PN20 40x6,7 stabi</t>
  </si>
  <si>
    <t>KNNR 4 0128-02</t>
  </si>
  <si>
    <t>Płukanie instalacji wodociągowej w budynkach niemieszkalnych</t>
  </si>
  <si>
    <t>KNNR 4 0127-01</t>
  </si>
  <si>
    <t>Próba szczelności instalacji wodociągowych z rur z tworzyw sztucznych - próba zasadnicza (pulsacyjna)</t>
  </si>
  <si>
    <t>prob.</t>
  </si>
  <si>
    <t>KNR 0-34 0110-14</t>
  </si>
  <si>
    <t>Izolacja dwuwarstwowa rurociągów śr.42 mm otulinami PE - gr.izolacji 40 mm</t>
  </si>
  <si>
    <t>KNNR 4 0127-05 analogia</t>
  </si>
  <si>
    <t>Próba szczelności instalacji wodociągowych z rur z tworzyw sztucznych - dodatek w budynkach niemieszkalnych</t>
  </si>
  <si>
    <t>KNR-W 2-17 0101-03</t>
  </si>
  <si>
    <t>Przewody wentylacyjne z blachy stalowej, prostokątne, typ A/I o obwodzie do 1000 mm - udział kształtek do 35 %</t>
  </si>
  <si>
    <t>KNR-W 2-17 0138-01</t>
  </si>
  <si>
    <t>Kratka 300x100</t>
  </si>
  <si>
    <t>Kratka 200x100</t>
  </si>
  <si>
    <t>KNNR 4 0529-02</t>
  </si>
  <si>
    <t>1.3</t>
  </si>
  <si>
    <t>Roboty budowlane</t>
  </si>
  <si>
    <t>KNR 4-01 0333-08</t>
  </si>
  <si>
    <t>Przebicie otworów w ścianach z cegieł o grubości 1/2 ceg. na zaprawie cementowo-wapiennej</t>
  </si>
  <si>
    <t>KNR 4-01 0333-13</t>
  </si>
  <si>
    <t>Przebicie otworów w ścianach z cegieł o grubości 3 ceg. na zaprawie cementowo-wapiennej</t>
  </si>
  <si>
    <t>KNR 4-01 0323-02</t>
  </si>
  <si>
    <t>Zamurowanie przebić w ścianach z cegieł o grub. 1/2 ceg.</t>
  </si>
  <si>
    <t>KNR 4-01 0323-04</t>
  </si>
  <si>
    <t>Zamurowanie przebić w ścianach z cegieł o grub. ponad 1 ceg.</t>
  </si>
  <si>
    <t>KNR 4-01 0709-05</t>
  </si>
  <si>
    <t>Uzupełnienie tynków zwykłych wewnętrznych kat. III z zaprawy cementowo-wapiennej o powierzchni do 0.5 m2 na podłożach z cegły, pustaków ceramicznych, betonu na ścianach</t>
  </si>
  <si>
    <t>KNR 7-28 0205-10 analogia</t>
  </si>
  <si>
    <t>Przebicie otworów o powierzchni ponad 0.1 do 0.5 m2 dla przewodów klimatyzacyjnych w ścianach murowanych o grubości 3 ceg. wsp do R-1,5</t>
  </si>
  <si>
    <t>otw.</t>
  </si>
  <si>
    <t>Instalacja gazowa</t>
  </si>
  <si>
    <t>KNNR 4 0303-02</t>
  </si>
  <si>
    <t>Rurociągi w instalacjach gazowych stalowe o połączeniach spawanych o śr.nom. 20 mm na ścianach w budynkach mieszkalnych</t>
  </si>
  <si>
    <t>KNNR 4 0303-03</t>
  </si>
  <si>
    <t>Rurociągi w instalacjach gazowych stalowe o połączeniach spawanych o śr.nom. 25 mm na ścianach w budynkach mieszkalnych</t>
  </si>
  <si>
    <t>KNNR 4 0303-04</t>
  </si>
  <si>
    <t>Rurociągi w instalacjach gazowych stalowe o połączeniach spawanych o śr.nom. 32 mm na ścianach w budynkach mieszkalnych</t>
  </si>
  <si>
    <t>KNNR 4 0307-01</t>
  </si>
  <si>
    <t>Próba instalacji gazowej na ciśnienie dla wykonawcy i dostawcy gazu za gazomierzem w budynkach mieszkalnych</t>
  </si>
  <si>
    <t>lokal.</t>
  </si>
  <si>
    <t>KNNR 4 0312-02</t>
  </si>
  <si>
    <t>Kurki gazowe przelotowe o śr. 20 mm o połączeniach gwintowanych</t>
  </si>
  <si>
    <t>KNNR 4 0140-03 analogia</t>
  </si>
  <si>
    <t>KNNR 4 0308-02</t>
  </si>
  <si>
    <t>Dodatkowe nakłady na wykonanie podejścia obustronnego do gazomierza o śr.przyłącza 25 mm na ścianach</t>
  </si>
  <si>
    <t>KNNR 4 0142-01</t>
  </si>
  <si>
    <t>Szafka gazowa ze stali</t>
  </si>
  <si>
    <t>Przewód elastyczny z zaworem 1/2"</t>
  </si>
  <si>
    <t>Rury ochronne stalowe z wypełnieniem matriałem plastycznym</t>
  </si>
  <si>
    <t>KNR 4-01 0333-21</t>
  </si>
  <si>
    <t>Przebicie otworów w stropie</t>
  </si>
  <si>
    <t>KNR 4-01 0323-05</t>
  </si>
  <si>
    <t>Zamurowanie przebić w stropach</t>
  </si>
  <si>
    <t>KNNR 8 0410-01</t>
  </si>
  <si>
    <t>Demontaż rurociągu stalowego o połączeniach spawanych o śr.15 mm na ścianie</t>
  </si>
  <si>
    <t>KNNR 8 0410-02</t>
  </si>
  <si>
    <t>Demontaż rurociągu stalowego o połączeniach spawanych o śr.20 mm na ścianie</t>
  </si>
  <si>
    <t>KNNR 8 0410-03</t>
  </si>
  <si>
    <t>Demontaż rurociągu stalowego o połączeniach spawanych o śr.25 mm na ścianie</t>
  </si>
  <si>
    <t>Demontaż rurociągu stalowego o połączeniach spawanych o śr.32 mm na ścianie</t>
  </si>
  <si>
    <t>KNNR 8 0412-05</t>
  </si>
  <si>
    <t>Demontaż zaworu grzejnikowego lub dwuzłączki o śr.15-20mm</t>
  </si>
  <si>
    <t>KNNR 8 0422-02</t>
  </si>
  <si>
    <t>Demontaż grzejnika żeliwnego członowego o pow. ogrzewalnej 7.5 m2</t>
  </si>
  <si>
    <t>KNR-W 4-01 0109-09</t>
  </si>
  <si>
    <t>Wywiezienie zdemontowanych elementów samochodami skrzyniowymi na odległość do 1 km</t>
  </si>
  <si>
    <t>KNR-W 4-01 0109-10</t>
  </si>
  <si>
    <t>Wywiezienie zdemontowanych elementów samochodami skrzyniowymi na każdy następny 1 km Krotność = 14</t>
  </si>
  <si>
    <t>Koszt składowania na wysypisku</t>
  </si>
  <si>
    <t>KNNR 4 0404-01</t>
  </si>
  <si>
    <t>Rura wielowarst. PE-RT/Al/PE-RT  16x2,0</t>
  </si>
  <si>
    <t>Rura wielowarst. PE-RT/Al/PE-RT  20x2,0</t>
  </si>
  <si>
    <t>KNNR 4 0404-02</t>
  </si>
  <si>
    <t>Rura wielowarst. PE-RT/Al/PE-RT  25x2,5</t>
  </si>
  <si>
    <t>KNNR 4 0404-03</t>
  </si>
  <si>
    <t>Rura wielowarst. PE-RT/Al/PE-RT  32x3,0</t>
  </si>
  <si>
    <t>KNNR 4 0128-02 analogia</t>
  </si>
  <si>
    <t>Płukanie instalacji  w budynkach niemieszkalnych</t>
  </si>
  <si>
    <t>KNNR 4 0406-03</t>
  </si>
  <si>
    <t>Próby szczelności instalacji c.o. z rur z tworzyw sztucznych - próba zasadnicza (pulsacyjna)</t>
  </si>
  <si>
    <t>próba</t>
  </si>
  <si>
    <t>KNNR 4 0406-05</t>
  </si>
  <si>
    <t>Próby szczelności instalacji c.o. z rur z tworzyw sztucznych - dodatek za próbę w budynkach niemieszkalnych</t>
  </si>
  <si>
    <t>Zawór odcinający prosty  DN 15</t>
  </si>
  <si>
    <t>Zawór odcinający prosty  DN 20</t>
  </si>
  <si>
    <t>KNR 0-35 0215-06</t>
  </si>
  <si>
    <t>Zawór odcinający do grzejników zintegrowanych DN 15</t>
  </si>
  <si>
    <t>KNR INSTAL 0309-02</t>
  </si>
  <si>
    <t>Zawór powrotny prosty  DN 15</t>
  </si>
  <si>
    <t>KNR INSTAL 0309-07</t>
  </si>
  <si>
    <t>Zawór termostatyczny prosty DN 15</t>
  </si>
  <si>
    <t>KNR 0-35 0215-04</t>
  </si>
  <si>
    <t>Głowica termostatyczna</t>
  </si>
  <si>
    <t>KNR 0-35 0222-01</t>
  </si>
  <si>
    <t>KNR 0-35 0220-01</t>
  </si>
  <si>
    <t>Rozdzielacz z wkładkami odcinającymi 2 wyjścia</t>
  </si>
  <si>
    <t>KNR 0-35 0220-02</t>
  </si>
  <si>
    <t>Rozdzielacz z wkładkami odcinającymi 3 wyjścia</t>
  </si>
  <si>
    <t>KNR 0-35 0220-03</t>
  </si>
  <si>
    <t>Rozdzielacz z wkładkami odcinającymi 4 wyjścia</t>
  </si>
  <si>
    <t>KNR 0-35 0220-06</t>
  </si>
  <si>
    <t>Rozdzielacz z wkładkami odcinającymi 7 wyjść</t>
  </si>
  <si>
    <t>KNR 0-35 0220-08</t>
  </si>
  <si>
    <t>Rozdzielacz z wkładkami odcinającymi 9 wyjść</t>
  </si>
  <si>
    <t>KNR 0-35 0219-04</t>
  </si>
  <si>
    <t>Szafka podtynkowa z blachy stalowej L=350 mm</t>
  </si>
  <si>
    <t>Szafka podtynkowa z blachy stalowej L=580 mm</t>
  </si>
  <si>
    <t>KNNR 4 0418-05</t>
  </si>
  <si>
    <t>Grzejniki lewe G_Z 22/500/400</t>
  </si>
  <si>
    <t>Grzejniki lewe G_Z 22/500/520</t>
  </si>
  <si>
    <t>Grzejniki lewe G_Z 22/500/720</t>
  </si>
  <si>
    <t>Grzejniki lewe G_Z 22/500/920</t>
  </si>
  <si>
    <t>Grzejniki lewe G_Z 22/500/1000</t>
  </si>
  <si>
    <t>Grzejniki lewe G_Z 22/500/1120</t>
  </si>
  <si>
    <t>Grzejniki prawe G_Z 22/500/520</t>
  </si>
  <si>
    <t>Grzejniki prawe G_Z 22/500/600</t>
  </si>
  <si>
    <t>Grzejniki prawe G_Z 22/500/720</t>
  </si>
  <si>
    <t>Grzejniki prawe G_Z 22/500/800</t>
  </si>
  <si>
    <t>Grzejniki prawe G_Z 22/500/920</t>
  </si>
  <si>
    <t>Grzejniki prawe G_NZ 22/500/1000</t>
  </si>
  <si>
    <t>Grzejniki prawe G_NZ 22/500/1120</t>
  </si>
  <si>
    <t>KNNR 4 0425-02</t>
  </si>
  <si>
    <t>Grzejniki stalowe łazienkowe 500/1130</t>
  </si>
  <si>
    <t>KNNR 4 0436-01</t>
  </si>
  <si>
    <t>Próby z dokonaniem regulacji instalacji centralnego ogrzewania (na gorąco)</t>
  </si>
  <si>
    <t>urz.</t>
  </si>
  <si>
    <t>KNR 0-34 0101-01</t>
  </si>
  <si>
    <t>Izolacja rurociągów śr.18 mm otulinami z pianki PE - jednowarstwowymi gr.6 mm</t>
  </si>
  <si>
    <t>Izolacja rurociągów śr.22 mm otulinami z pianki PE - jednowarstwowymi gr.6 mm</t>
  </si>
  <si>
    <t>KNR 0-34 0101-02</t>
  </si>
  <si>
    <t>Izolacja rurociągów śr.25 mm otulinami z pianki PE - jednowarstwowymi gr.6 mm</t>
  </si>
  <si>
    <t>Izolacja rurociągów śr.35 mm otulinami z pianki PE - jednowarstwowymi gr.6 mm</t>
  </si>
  <si>
    <t>KNR 4-01 0339-04</t>
  </si>
  <si>
    <t>Wykucie bruzd pionowych 1/2x1 ceg. w ścianach z cegieł na zaprawie cementowo-wapiennej</t>
  </si>
  <si>
    <t>KNR 4-01 0325-05</t>
  </si>
  <si>
    <t>Zamurowanie bruzd pionowych lub pochyłych o przekroju 1/2x1 ceg. w ścianach z cegieł</t>
  </si>
  <si>
    <t>Instalacja CT</t>
  </si>
  <si>
    <t>KNR INSTAL 0401-02 analogia</t>
  </si>
  <si>
    <t>Rura ze stali węglowej, ocynkowana 15x1,2 mm</t>
  </si>
  <si>
    <t>KNR INSTAL 0401-03 analogia</t>
  </si>
  <si>
    <t>Rura ze stali węglowej, ocynkowana 18x1,2 mm</t>
  </si>
  <si>
    <t>KNR INSTAL 0307-01</t>
  </si>
  <si>
    <t>Płukanie instalacji c.t.</t>
  </si>
  <si>
    <t>KNR INSTAL 0307-03</t>
  </si>
  <si>
    <t>Próba szczelności instalacji c.t. w budynkach niemieszkalnych</t>
  </si>
  <si>
    <t>Zawór odcinający DN 15</t>
  </si>
  <si>
    <t>KNNR 4 0411-01</t>
  </si>
  <si>
    <t>Zawór ręczny regulacyjny DN 15</t>
  </si>
  <si>
    <t>KNR 0-34 0101-14</t>
  </si>
  <si>
    <t>Izolacja rurociągów śr.15 mm otulinami z pianki PE - jednowarstwowymi gr.25 mm</t>
  </si>
  <si>
    <t>Izolacja rurociągów śr.18 mm otulinami z pianki PE - jednowarstwowymi gr.25 mm</t>
  </si>
  <si>
    <t>Wentylacja</t>
  </si>
  <si>
    <t>KNR 2-17 0138-02</t>
  </si>
  <si>
    <t>Kratka wywiewna 300x100+przepustnica regulacyjna</t>
  </si>
  <si>
    <t>KNR 2-17 0138-01</t>
  </si>
  <si>
    <t>Kratki nawiewne z regulowanymi łopatkami 200x100+przepustnica regulacyjna</t>
  </si>
  <si>
    <t>KNR 2-17 0147-02</t>
  </si>
  <si>
    <t>Czerpnia ścienna fi 400</t>
  </si>
  <si>
    <t>Wyrzutnia ścienna fi 400</t>
  </si>
  <si>
    <t>KNR 2-17 0323-02 analogia</t>
  </si>
  <si>
    <t>Centrala podwieszana z obrotowym wymiennikiem ciepła o sprawności min. 70%; wydatek: nawiew 600m3/h spręż 250Pa, wywiew 500m3/h spręż 250Pa; nagrzewnica wodna 3,6kW (parametr 70/50) z 3-drogowym zaworem z siłownik 230V; temperatura nawiewu 26°C; filtry powietrza F7 z sygnalizacją zabrudzenia; wentylatory EC; automatyka</t>
  </si>
  <si>
    <t>KNR 9-16 0104-07</t>
  </si>
  <si>
    <t>Izolacja kanałów wentylacyjnych wełną mineralną gr. 40 mm w foli Alu</t>
  </si>
  <si>
    <t>m2 izolacji</t>
  </si>
  <si>
    <t>KNR 2-17 0131-03 analogia</t>
  </si>
  <si>
    <t>Klapa EI120 fi 250 z wyzwalaczem termicznym</t>
  </si>
  <si>
    <t>Klapa EI120 fi 315 z wyzwalaczem termicznym</t>
  </si>
  <si>
    <t>KNR-W 2-17 0114-01</t>
  </si>
  <si>
    <t>Przewody wentylacyjne z blachy stalowej, kołowe, typ B/I o śr. 100 mm - udział kształtek do 55 %</t>
  </si>
  <si>
    <t>KNR-W 2-17 0114-02</t>
  </si>
  <si>
    <t>Przewody wentylacyjne z blachy stalowej, kołowe, typ B/I o śr. 125 mm - udział kształtek do 55 %</t>
  </si>
  <si>
    <t>Przewody wentylacyjne z blachy stalowej, kołowe, typ B/I o śr. 160 mm - udział kształtek do 55 %</t>
  </si>
  <si>
    <t>Przewody wentylacyjne z blachy stalowej, kołowe, typ B/I o śr. 200 mm - udział kształtek do 55 %</t>
  </si>
  <si>
    <t>KNR-W 2-17 0114-03</t>
  </si>
  <si>
    <t>Przewody wentylacyjne z blachy stalowej, kołowe, typ B/I o śr. 250 mm - udział kształtek do 55 %</t>
  </si>
  <si>
    <t>Przewody wentylacyjne z blachy stalowej, kołowe, typ B/I o śr. 315 mm - udział kształtek do 55 %</t>
  </si>
  <si>
    <t>KNR-W 2-17 0155-03</t>
  </si>
  <si>
    <t>Tłumiki okrągłe fi 250 L=600 grub=50</t>
  </si>
  <si>
    <t>Tłumiki okrągłe fi 250 EI30 L=600 grub=50</t>
  </si>
  <si>
    <t>KNR-W 2-17 0102-04</t>
  </si>
  <si>
    <t>Przewody wentylacyjne z blachy stalowej, prostokątne, typ A/I o obwodzie do 1400 mm - udział kształtek do 55 %</t>
  </si>
  <si>
    <t>KNR-W 2-17 0102-05</t>
  </si>
  <si>
    <t>Przewody wentylacyjne z blachy stalowej, prostokątne, typ A/I o obwodzie do 1800 mm - udział kształtek do 55 %</t>
  </si>
  <si>
    <t>KNR 2-17 0205-01 analogia</t>
  </si>
  <si>
    <t>Wentylator wyciągowy łazienkowy</t>
  </si>
  <si>
    <t>KNR-W 2-17 0208-01</t>
  </si>
  <si>
    <t>KNR 7-28 0205-06</t>
  </si>
  <si>
    <t>Przebicie otworów o powierzchni ponad 0.1 do 0.5 m2 dla przewodów wenylacyjnych w ścianach murowanych o grubości 1/2 ceg.</t>
  </si>
  <si>
    <t>Obudowa kanałów płytami gipsowo-kartonowymi na rusztach metalowych</t>
  </si>
  <si>
    <t>KNR 2-02 1505-03</t>
  </si>
  <si>
    <t>Dwukrotne malowanie farbami emulsyjnymi powierzchni wewnętrznych - podłoży gipsowych z gruntowaniem</t>
  </si>
  <si>
    <t>Instalacja wod-kan</t>
  </si>
  <si>
    <t>KNNR 8 0108-01</t>
  </si>
  <si>
    <t>KNNR 8 0225-02</t>
  </si>
  <si>
    <t>Demontaż zmywaka zlewozmywaka żeliwnego lub kamionkowego</t>
  </si>
  <si>
    <t>KNNR 8 0225-03</t>
  </si>
  <si>
    <t>Demontaż umywalki porcelanowej</t>
  </si>
  <si>
    <t>KNNR 8 0225-05</t>
  </si>
  <si>
    <t>Demontaż ustępu z miską porcelanową lub żeliwną</t>
  </si>
  <si>
    <t>6.2</t>
  </si>
  <si>
    <t>KNNR 4 0112-01</t>
  </si>
  <si>
    <t>Rura PP PN20 20x3,4</t>
  </si>
  <si>
    <t>KNNR 4 0112-02</t>
  </si>
  <si>
    <t>Rura PP PN20 25x4,2</t>
  </si>
  <si>
    <t>KNNR 4 0112-03</t>
  </si>
  <si>
    <t>Rura PP PN20 32x5,4</t>
  </si>
  <si>
    <t>Rura PP PN20 40x6,7</t>
  </si>
  <si>
    <t>KNNR 4 0112-05</t>
  </si>
  <si>
    <t>Rura PP PN20 50x8,3</t>
  </si>
  <si>
    <t>KNNR 4 0112-06</t>
  </si>
  <si>
    <t>Rura PP PN20 63x10,5</t>
  </si>
  <si>
    <t>Rura PP PN20 20x3,4 stabi</t>
  </si>
  <si>
    <t>Rura PP PN20 25x4,2 stabi</t>
  </si>
  <si>
    <t>Rura PP PN20 32x5,4 stabi</t>
  </si>
  <si>
    <t>Rura PP PN20 50x8,3 stabi</t>
  </si>
  <si>
    <t>KNNR 4 0107-03</t>
  </si>
  <si>
    <t>Rurociągi stalowe ocynkowane o śr.nominalnej 32 mm o połączeniach gwintowanych, w samoczynnych sieciach przeciwpożarowych</t>
  </si>
  <si>
    <t>KNNR 4 0107-06</t>
  </si>
  <si>
    <t>Rurociągi stalowe ocynkowane o śr.nominalnej 65 mm o połączeniach gwintowanych, w samoczynnych sieciach przeciwpożarowych</t>
  </si>
  <si>
    <t>KNNR 4 0126-05</t>
  </si>
  <si>
    <t>Próba szczelności instalacji wodociągowych z rur żeliwnych, stalowych i miedzianych w budynkach niemieszkalnych (rurociąg o śr. do 150 mm)</t>
  </si>
  <si>
    <t>Izolacja rurociągów śr.22 mm otulinami PE - jednowarstwowymi gr.6 mm</t>
  </si>
  <si>
    <t>Izolacja rurociągów śr.22 mm otulinami PE - jednowarstwowymi gr.25 mm</t>
  </si>
  <si>
    <t>Izolacja rurociągów śr.25 mm otulinami PE - jednowarstwowymi gr.6 mm</t>
  </si>
  <si>
    <t>KNR 0-34 0101-15</t>
  </si>
  <si>
    <t>Izolacja rurociągów śr.25 mm otulinami PE - jednowarstwowymi gr.25 mm</t>
  </si>
  <si>
    <t>Izolacja rurociągów śr.35 mm otulinami PE- jednowarstwowymi gr.6 mm</t>
  </si>
  <si>
    <t>Izolacja rurociągów śr.35 mm otulinami PE - jednowarstwowymi gr.25 mm</t>
  </si>
  <si>
    <t>Izolacja rurociągów śr.42 mm otulinami PE - jednowarstwowymi gr.6 mm</t>
  </si>
  <si>
    <t>KNR 0-34 0101-05</t>
  </si>
  <si>
    <t>Izolacja rurociągów śr.54 mm otulinami PE - jednowarstwowymi gr.10 mm</t>
  </si>
  <si>
    <t>KNR 0-34 0110-15</t>
  </si>
  <si>
    <t>Izolacja dwuwarstwowa rurociągów śr.54 mm otulinami PE - gr.izolacji 40 mm</t>
  </si>
  <si>
    <t>Izolacja rurociągów śr.63 mm otulinami PE - jednowarstwowymi gr.10 mm</t>
  </si>
  <si>
    <t>Izolacja rurociągów śr.76 mm otulinami PE - jednowarstwowymi gr.10 mm</t>
  </si>
  <si>
    <t>KNNR 4 0141-01</t>
  </si>
  <si>
    <t>KNNR 4 0140-05</t>
  </si>
  <si>
    <t>KNNR 4 0140-02</t>
  </si>
  <si>
    <t>KNNR 4 0123-03</t>
  </si>
  <si>
    <t>Dodatki za wykonanie obustronnych podejść do wodomierzy skrzydełkowych domowych o śr. nominalnej 50 mm w rurociągach z tworzyw sztucznych</t>
  </si>
  <si>
    <t>KNNR 4 0123-02</t>
  </si>
  <si>
    <t>Dodatki za wykonanie obustronnych podejść do wodomierzy skrzydełkowych domowych o śr. nominalnej 40 mm w rurociągach z tworzyw sztucznych</t>
  </si>
  <si>
    <t>KNNR 4 0123-06</t>
  </si>
  <si>
    <t>Dodatki za wykonanie obustronnych podejść do wodomierzy skrzydełkowych mieszkaniowych o śr. nominalnej 25 mm w rurociągach z tworzyw sztucznych</t>
  </si>
  <si>
    <t>KNNR 4 0123-05</t>
  </si>
  <si>
    <t>Dodatki za wykonanie obustronnych podejść do wodomierzy skrzydełkowych mieszkaniowych o śr. nominalnej 20 mm w rurociągach z tworzyw sztucznych</t>
  </si>
  <si>
    <t>KNNR 4 0132-01</t>
  </si>
  <si>
    <t>Zawór ćwierćobrotowy DN 15</t>
  </si>
  <si>
    <t>KNNR 4 0132-02</t>
  </si>
  <si>
    <t>Zawór kulowy DN 20</t>
  </si>
  <si>
    <t>KNNR 4 0132-03</t>
  </si>
  <si>
    <t>Zawór kulowy DN 25</t>
  </si>
  <si>
    <t>KNNR 4 0132-04</t>
  </si>
  <si>
    <t>Zawór kulowy DN 32</t>
  </si>
  <si>
    <t>KNNR 4 0132-05</t>
  </si>
  <si>
    <t>Zawór kulowy DN 40</t>
  </si>
  <si>
    <t>KNNR 4 0132-07</t>
  </si>
  <si>
    <t>Zawór kulowy DN 65</t>
  </si>
  <si>
    <t>Zawór antyskażeniowy EA DN 40</t>
  </si>
  <si>
    <t>KNR 0-35 0131-05</t>
  </si>
  <si>
    <t>Zawór antyskażeniowy BA DN 40</t>
  </si>
  <si>
    <t>KNNR 4 0130-05 analogia</t>
  </si>
  <si>
    <t>Zawór p.poż. DN 40</t>
  </si>
  <si>
    <t>KNR 0-35 0132-02 analogia</t>
  </si>
  <si>
    <t>Izolator przepływów zwrotnych HA DN 20</t>
  </si>
  <si>
    <t>Termostatyczny zawór cyrkulacyjny DN 15</t>
  </si>
  <si>
    <t>KNNR 4 0144-01 analogia</t>
  </si>
  <si>
    <t>Zestaw hydroforowy, układ wielopompowy(1 pompa pracująca + 1 pompa rezerwowa), Przepływ Q= l/m3, Wys. podnoszenia H=kPa</t>
  </si>
  <si>
    <t>KNNR 4 0137-08</t>
  </si>
  <si>
    <t>Baterie natryskowe z natryskiem przesuwnym o śr.nominalnej 15 mm</t>
  </si>
  <si>
    <t>KNNR 4 0137-02</t>
  </si>
  <si>
    <t>Baterie umywalkowe stojące o śr. nominalnej 15 mm</t>
  </si>
  <si>
    <t>Baterie zlewozmywakowe stojące o śr. nominalnej 15 mm</t>
  </si>
  <si>
    <t>KNR-W 2-15 0142-01</t>
  </si>
  <si>
    <t>KNR-W 2-15 0138-01</t>
  </si>
  <si>
    <t>Zawór hydrantowy o śr. nominalnej 25 mm montowany na ścianie</t>
  </si>
  <si>
    <t>KNNR 4 0135-01</t>
  </si>
  <si>
    <t>Zawory czerpalne o śr. nominalnej 15 mm</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</si>
  <si>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</si>
  <si>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</si>
  <si>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</si>
  <si>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</si>
  <si>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KNR-W 2-15 0115-03</t>
  </si>
  <si>
    <t>Dodatki za podejścia dopływowe w rurociągach stalowych do zaworów czerpalnych, baterii, mieszaczy, hydrantów itp. o połączeniu sztywnym o śr. nominalnej 25 mm</t>
  </si>
  <si>
    <t>KNNR 4 0208-01</t>
  </si>
  <si>
    <t>Rurociągi kanalizacyjne z PVC o śr. 50 mm na ścianach w budynkach niemieszkalnych o połączeniach wciskowych</t>
  </si>
  <si>
    <t>KNNR 4 0208-02</t>
  </si>
  <si>
    <t>Rurociągi kanalizacyjne z PVC o śr. 75 mm na ścianach w budynkach niemieszkalnych o połączeniach wciskowych</t>
  </si>
  <si>
    <t>KNNR 4 0208-03</t>
  </si>
  <si>
    <t>Rurociągi kanalizacyjne z PVC o śr. 110 mm na ścianach w budynkach niemieszkalnych o połączeniach wciskowych</t>
  </si>
  <si>
    <t>KNNR 4 0208-04</t>
  </si>
  <si>
    <t>Rura PVC-U 160 x 4,7</t>
  </si>
  <si>
    <t>KNNR 4 0222-02</t>
  </si>
  <si>
    <t>Czyszczaki z PVC kanalizacyjne o śr. 110 mm o połączeniach wciskowych</t>
  </si>
  <si>
    <t>KNNR 4 0213-05 analogia</t>
  </si>
  <si>
    <t>Rury wywiewne z PVC o połączeniu wciskowym o śr. 110 mm</t>
  </si>
  <si>
    <t>KNNR 4 0218-01</t>
  </si>
  <si>
    <t>Wpusty ściekowe z tworzywa sztucznego o śr. 50 mm</t>
  </si>
  <si>
    <t>KNNR 4 0230-02</t>
  </si>
  <si>
    <t>Umywalka pojedyncza</t>
  </si>
  <si>
    <t>KNNR 4 0230-05</t>
  </si>
  <si>
    <t>Półpostument porcelanowy do umywalek</t>
  </si>
  <si>
    <t>KNNR 4 0234-02</t>
  </si>
  <si>
    <t>Pisuary pojedyncze z zaworem spłukującym</t>
  </si>
  <si>
    <t>KNNR 4 0229-04</t>
  </si>
  <si>
    <t>Zlewozmywak jednokomorowy. z rusztem ociekowym</t>
  </si>
  <si>
    <t>KNNR 4 0232-02</t>
  </si>
  <si>
    <t>KNR 2-15/GEBERIT 0101-01</t>
  </si>
  <si>
    <t>Elementy montażowe podtynkowe do miski ustępowej montowane na ścianie</t>
  </si>
  <si>
    <t>KNR 2-15/GEBERIT 0104-01</t>
  </si>
  <si>
    <t>KNR 2-15/GEBERIT 0105-01</t>
  </si>
  <si>
    <t>Przyciski do spłuczek podtynkowych</t>
  </si>
  <si>
    <t>KNNR 4 0211-01</t>
  </si>
  <si>
    <t>Dodatki za wykonanie podejść odpływowych z PVC o śr. 50 mm o połączeniach wciskowych</t>
  </si>
  <si>
    <t>KNNR 4 0211-03</t>
  </si>
  <si>
    <t>Dodatki za wykonanie podejść odpływowych z PVC o śr. 110 mm o połączeniach wciskowych</t>
  </si>
  <si>
    <t>6.3</t>
  </si>
  <si>
    <t>KNR 4-01 0333-10</t>
  </si>
  <si>
    <t>Przebicie otworów w ścianach z cegieł o grubości 1 1/2 ceg. na zaprawie cementowo-wapiennej</t>
  </si>
  <si>
    <t>KNR 4-01 0336-04</t>
  </si>
  <si>
    <t>Wykucie bruzd poziomych 1/2x1 ceg. w ścianach z cegieł na zaprawie cementowo-wapiennej</t>
  </si>
  <si>
    <t>KNR 4-01 0324-05</t>
  </si>
  <si>
    <t>Zamurowanie bruzd poziomych o przekroju 1/2x1 ceg. w ścianach z cegieł 'na pełno'</t>
  </si>
  <si>
    <t>Klimatyzacja</t>
  </si>
  <si>
    <t>7.1</t>
  </si>
  <si>
    <t>KNR 2-17 0208-01 analogia</t>
  </si>
  <si>
    <t>Jednostka zewnętrzna Nr 1: z poziomym wyrzutem powietrza   Nominalna wydajność chłodnicza: 5,0 kW  Nominalna wydajność grzewcza: 5,6 kW  Zasilanie (liczba faz/częstotliwość/napięcie): 1~/50 Hz/230 V  Wymiary (wys x szer x głęb): nie większe niż 600x792x300  Waga: nie większa niż 43 kg  Poziom ciśnienia akustycznego w trybie chłodzenia: nie większy niż 44 dB(A)  Poziom ciśnienia akustycznego w trybie chłodzenia (w trybie nocnym): nie większy niż 42 dB(A)  Długość maksymalna instalacji freonowej: nie mniejsza niż 50m  Maksymalna różnica poziomów (AZ powyżej / AZ poniżej): nie mniejsza niż 30m / 20m  Zakres pracy w trybie chłodzenia od -15*C do +46*C  Zakres pracy w trybie grzania od -20*C do +15*C  Czynnik chłodniczy R410A</t>
  </si>
  <si>
    <t>KNR-W 2-15 0405-01</t>
  </si>
  <si>
    <t>Rura freonowa miedziana z izolacją  6,35</t>
  </si>
  <si>
    <t>KNR-W 2-15 0405-02</t>
  </si>
  <si>
    <t>Rura freonowa miedziana z izolacją  12,7</t>
  </si>
  <si>
    <t>Rura do skroplin fi 20</t>
  </si>
  <si>
    <t>7.2</t>
  </si>
  <si>
    <t>Przyłącze wodociągowe</t>
  </si>
  <si>
    <t>8.1</t>
  </si>
  <si>
    <t>Roboty przygotowawcze i rozbiórkowe</t>
  </si>
  <si>
    <t>KNR 2-25 0419-02</t>
  </si>
  <si>
    <t>KNR AT-03 0101-01</t>
  </si>
  <si>
    <t>Roboty remontowe - cięcie piłą nawierzchni bitumicznych na gł. do 5 cm</t>
  </si>
  <si>
    <t>KNR AT-03 0102-02 analogia</t>
  </si>
  <si>
    <t>Roboty remontowe - frezowanie nawierzchni bitumicznej o gr. 4 cm z wywozem materiału z rozbiórki na odl. do 1 km - warstwa gr. 4 cm+ 4 cm Krotność = 2</t>
  </si>
  <si>
    <t>Mechaniczne rozebranie podbudowy z kruszywa kamiennego - dalszy 1 cm grubości Krotność = 20</t>
  </si>
  <si>
    <t>Załadunek gruzu - asfalt</t>
  </si>
  <si>
    <t>Wywóz gruzu - asfalt</t>
  </si>
  <si>
    <t>8.2</t>
  </si>
  <si>
    <t>Roboty ziemne</t>
  </si>
  <si>
    <t>KNR 2-01 0218-01</t>
  </si>
  <si>
    <t>Wykopy oraz przekopy wykonywane koparkami podsiębiernymi 0.60 m3 na odkład w gruncie kat.I-II</t>
  </si>
  <si>
    <t>KNR 2-01 0230-01</t>
  </si>
  <si>
    <t>Zasypywanie wykopów spycharkami z przemieszczeniem gruntu na odl. do 10 m w gruncie kat. I-III</t>
  </si>
  <si>
    <t>8.3</t>
  </si>
  <si>
    <t>KNNR 4 1411-03</t>
  </si>
  <si>
    <t>Podłoża pod kanały i obiekty z materiałów sypkich - podsypka i obsybka</t>
  </si>
  <si>
    <t>KNR-W 2-18 0109-01/02</t>
  </si>
  <si>
    <t>Rura fi 63x5,8 PE100 SDR11</t>
  </si>
  <si>
    <t>KNR 2-18 0408-01</t>
  </si>
  <si>
    <t>Przewierty o długości do 20 m maszyną do wierceń poziomych z rurą osłonowa stalową DN 125</t>
  </si>
  <si>
    <t>KNR-W 2-18 0113-07 analogia</t>
  </si>
  <si>
    <t>Opaska do nawiertki uniwersalna fi 350/DN 80</t>
  </si>
  <si>
    <t>KNR-W 2-18 0201-02</t>
  </si>
  <si>
    <t>Zasuwa DN 80 wraz z obudowa i skrzynką uliczną</t>
  </si>
  <si>
    <t>KNR-W 2-18 0114-02</t>
  </si>
  <si>
    <t>Redukcja dwukołnierzowa DN80/DN50</t>
  </si>
  <si>
    <t>KNR-W 2-18 0114-01</t>
  </si>
  <si>
    <t>Złączka żeliwo/PE DN50/fi63</t>
  </si>
  <si>
    <t>Wodomierz jednostrumieniowy JS 6,3 DN 25</t>
  </si>
  <si>
    <t>KNNR 4 0130-06</t>
  </si>
  <si>
    <t>Zawór przelotowy DN 50</t>
  </si>
  <si>
    <t>Filtr siatkowy DN50</t>
  </si>
  <si>
    <t>KNR 0-35 0131-05 analogia</t>
  </si>
  <si>
    <t>Zawór zwrotny antyskażeniowy BA DN 40</t>
  </si>
  <si>
    <t>Złączka zaciskowa 2"GW/PE63</t>
  </si>
  <si>
    <t>KNNR 4 0106-03</t>
  </si>
  <si>
    <t>Rurociągi stalowe ocynkowane o śr.nominalnej 25 mm o połączeniach gwintowanych, na ścianach w budynkach niemieszkalnych</t>
  </si>
  <si>
    <t>Uszczelneinie przejścia rury przez ścianę budynku</t>
  </si>
  <si>
    <t>8.4</t>
  </si>
  <si>
    <t>Roboty odtworzeniowe</t>
  </si>
  <si>
    <t>Podbudowa z kruszywa łamanego - warstwa dolna o grubości po zagęszczeniu 15 cm - pod drogą</t>
  </si>
  <si>
    <t>Podbudowa z kruszywa łamanego - warstwa dolna - za każdy dalszy 1 cm grubości po zagęszczeniu - pod drogą Krotność = 10</t>
  </si>
  <si>
    <t>Podbudowa z kruszywa łamanego - warstwa górna o grubości po zagęszczeniu 8 cm - pod drogą</t>
  </si>
  <si>
    <t>Podbudowa z kruszywa łamanego - warstwa górna - za każdy dalszy 1 cm grubości po zagęszczeniu - pod drogą Krotność = 2</t>
  </si>
  <si>
    <t>KNR 2-31 0311-01 analogia</t>
  </si>
  <si>
    <t>Nawierzchnia z mieszanek mineralno-bitumicznych grysowo-żwirowych - warstwa wiążąca z asfaltobetonu - grubość po zagęszcz. 4 cm</t>
  </si>
  <si>
    <t>KNR 2-31 0311-05 analogia</t>
  </si>
  <si>
    <t>Nawierzchnia z mieszanek mineralno-bitumicznych grysowo-żwirowych - warstwa ścieralna z asfaltobetonu - grubość po zagęszcz. 3 cm</t>
  </si>
  <si>
    <t>KNR 2-31 0311-06 analogia</t>
  </si>
  <si>
    <t>Nawierzchnia z mieszanek mineralno-bitumicznych grysowo-żwirowych - warstwa ścieralna z asfaltobetonu - każdy dalszy 1 cm grubość po zagęszcz.</t>
  </si>
  <si>
    <t>Cena jedn.</t>
  </si>
  <si>
    <t>Wartość</t>
  </si>
  <si>
    <t>Instalacja oświetlenia</t>
  </si>
  <si>
    <t>KNNR 5 0512-04 z.sz.2.3.</t>
  </si>
  <si>
    <t>Oprawa oświetleniowa LED typu "OP1" - dostawa i montaż</t>
  </si>
  <si>
    <t>Oprawa oświetleniowa LED typu "OP2" - dostawa i montaż</t>
  </si>
  <si>
    <t>Oprawa oświetleniowa LED typu "OP3" - dostawa i montaż</t>
  </si>
  <si>
    <t>Oprawa oświetleniowa LED typu "OP4" - dostawa i montaż</t>
  </si>
  <si>
    <t>KNNR 5 1008-04</t>
  </si>
  <si>
    <t>Montaż projektorów oświetleniowych na ścianach budynków</t>
  </si>
  <si>
    <t>KNNR 5 0512-03</t>
  </si>
  <si>
    <t>Oprawa awaryjna /AW1/ - dostawa i montaż</t>
  </si>
  <si>
    <t>Oprawa awaryjna /AW2/ - dostawa i montaż</t>
  </si>
  <si>
    <t>Oprawa ewakuacyjna  /EW.1/ - dostawa i montaż</t>
  </si>
  <si>
    <t>Oprawa ewakuacyjna  /EW.3/ - dostawa i montaż</t>
  </si>
  <si>
    <t>KNNR 5 0301-11</t>
  </si>
  <si>
    <t>Przygotowanie podłoża pod osprzęt instalacyjny mocowany na zaprawie cementowej lub gipsowej - wykonanie ślepych otworów w podłożu ceglanym</t>
  </si>
  <si>
    <t>KNNR 5 0304-01</t>
  </si>
  <si>
    <t>Odgałęźniki bryzgoszczelne  75x75 z tworzywa sztucznego o 3 wylotach mocowane bezśrubowo</t>
  </si>
  <si>
    <t>KNNR 5 0303-02</t>
  </si>
  <si>
    <t>Puszki z tworzywa sztucznego  5x2,5mm2 IP20</t>
  </si>
  <si>
    <t>KNNR 5 0302-01</t>
  </si>
  <si>
    <t>Puszki instalacyjne podtynkowe pojedyncze o śr.do 60 mm</t>
  </si>
  <si>
    <t>KNNR 5 0306-02</t>
  </si>
  <si>
    <t>Łączniki i przyciski jednobiegunowe podtynkowe w puszce instalacyjnej</t>
  </si>
  <si>
    <t>KNNR 5 0307-01</t>
  </si>
  <si>
    <t>Przycisk "Dzwonek", IP 44, bryzgoszczelny</t>
  </si>
  <si>
    <t>KNNR 5 0306-03</t>
  </si>
  <si>
    <t>Łączniki świecznikowe podtynkowe w puszce instalacyjnej</t>
  </si>
  <si>
    <t>KNNR 5 0307-03</t>
  </si>
  <si>
    <t>Łącznik schodowy hermetyczny 10A, 250V</t>
  </si>
  <si>
    <t>MATERIAŁ</t>
  </si>
  <si>
    <t>Dostawa ramek 1 krotnych</t>
  </si>
  <si>
    <t>KNNR 5 0406-01</t>
  </si>
  <si>
    <t>Aparaty elektryczne o masie do 2.5 kg</t>
  </si>
  <si>
    <t>Dzwonek pokojowy 230V</t>
  </si>
  <si>
    <t>KNNR 5 1207-01</t>
  </si>
  <si>
    <t>Wykucie bruzd dla przewodów wtynkowych w cegle</t>
  </si>
  <si>
    <t>KNNR 5 0205-01</t>
  </si>
  <si>
    <t>Przewody kabelkowe o łącznym przekroju żył do 7.5 mm2 układane p.t. w gotowych bruzdach w podłożu innym niż betonowe   Przewód miedziany w izolacji i powłoce polwinitowej 750V YDY 2x1,5mm2</t>
  </si>
  <si>
    <t>Przewody kabelkowe o łącznym przekroju żył do 7.5 mm2 układane p.t. w gotowych bruzdach w podłożu innym niż betonowe</t>
  </si>
  <si>
    <t>Przewody kabelkowe o łącznym przekroju żył do 7.5 mm2 układane p.t. w gotowych bruzdach w podłożu innym niż betonowe - YDYżo 5x1,5mm2; 750 V</t>
  </si>
  <si>
    <t>Instalacje gniazd</t>
  </si>
  <si>
    <t>KNNR 5 0308-01</t>
  </si>
  <si>
    <t>Gniazda instalacyjne wtyczkowe ze stykiem ochronnym podtynkowe 2-biegunowe końcowe o obciążalności do 10 A i przekroju przewodów do 2.5 mm2</t>
  </si>
  <si>
    <t>KNNR 5 0301-02</t>
  </si>
  <si>
    <t>Przygotowanie podłoża pod osprzęt instalacyjny mocowany przez przykręcenie do kołków plastykowych osadzonych w podłożu ceglanym</t>
  </si>
  <si>
    <t>KNNR 5 0308-06</t>
  </si>
  <si>
    <t>Gniazdo wtykowe podtynkowe kompletne, 16A, 3P+N+PE, bryzgoszczalne IP54, z wyłącznikiem i blokadą</t>
  </si>
  <si>
    <t>Dostawa ramek 2 krotnych</t>
  </si>
  <si>
    <t>KNNR 5 1206-01</t>
  </si>
  <si>
    <t>KNNR 5 0205-03</t>
  </si>
  <si>
    <t>Przewody kabelkowe o łącznym przekroju żył do 30 mm2 układane p.t. w gotowych bruzdach w podłożu innym niż betonowe -  YDY 5x2,5 mm2; 750 V</t>
  </si>
  <si>
    <t>Zasilanie pozostałych odbiorów</t>
  </si>
  <si>
    <t>Oświetlenie parkingu</t>
  </si>
  <si>
    <t>KNNR 5 0701-03</t>
  </si>
  <si>
    <t>Kopanie rowów dla kabli w sposób ręczny w gruncie kat. IV</t>
  </si>
  <si>
    <t>KNNR 5 0705-01</t>
  </si>
  <si>
    <t>Ułożenie rur osłonowych FI 50</t>
  </si>
  <si>
    <t>KNNR 5 0706-01</t>
  </si>
  <si>
    <t>Nasypanie warstwy piasku na dnie rowu kablowego o szerokości do 0.4 m Krotność = 2</t>
  </si>
  <si>
    <t>KNNR 5 0713-02</t>
  </si>
  <si>
    <t>Układanie kabli o masie do 1.0 kg/m w rurach - zasilanie</t>
  </si>
  <si>
    <t>KNNR 5 0707-02</t>
  </si>
  <si>
    <t>Układanie kabli o masie do 1.0 kg/m w rowach kablowych ręcznie</t>
  </si>
  <si>
    <t>KNNR 5 0726-05</t>
  </si>
  <si>
    <t>Zarobienie na sucho końca kabla 3-żyłowego o przekroju żył do 16 mm2 na napięcie do 1 kV o izolacji i powłoce z tworzyw sztucznych</t>
  </si>
  <si>
    <t>KNNR 5 0702-03</t>
  </si>
  <si>
    <t>Zasypywanie rowów dla kabli wykonanych ręcznie w gruncie kat. IV</t>
  </si>
  <si>
    <t>KNNR 5 0715-02</t>
  </si>
  <si>
    <t>Układanie kabli o masie do 1.0 kg/m w budynkach, budowlach lub na estakadach z mocowaniem  - zasilanie</t>
  </si>
  <si>
    <t>KNNR 5 0907-06</t>
  </si>
  <si>
    <t>Układanie uziomów ocynkow. 25x4mm w rowach kablowych</t>
  </si>
  <si>
    <t>KNNR 5 1001-04</t>
  </si>
  <si>
    <t>Montaż i stawianie słupów oświetleniowych</t>
  </si>
  <si>
    <t>KNNR 5 1003-04</t>
  </si>
  <si>
    <t>Montaż przewodów do opraw oświetleniowych - wciąganie w słupy, rury osłonowe i wysięgniki przy wysokości latarń do 12 m - YDYżo 3x2,5; 750 V, mb 5</t>
  </si>
  <si>
    <t>kpl.przew.</t>
  </si>
  <si>
    <t>KNNR 5 1004-02</t>
  </si>
  <si>
    <t>Montaż opraw oświetlenia zewnętrznego na słupie</t>
  </si>
  <si>
    <t>Czujnik zmierzchowy n/t</t>
  </si>
  <si>
    <t>Instalacje uziemień ochronnych i połaczeń wyrównawczych</t>
  </si>
  <si>
    <t>KNNR-W 9 0607-01</t>
  </si>
  <si>
    <t>Szyna wyrównania potencjałów (główna szyna uziemiająca)</t>
  </si>
  <si>
    <t>Zacisk uziemiający ZL, wyrównania potencjałów</t>
  </si>
  <si>
    <t>KNNR 5 0613-02</t>
  </si>
  <si>
    <t>Uchwyty uziemiające skręcane na rurach o śr.do 100 mm</t>
  </si>
  <si>
    <t>KNNR 5 0602-02</t>
  </si>
  <si>
    <t>Przewody uziemiające Fe/Zn 30x4mm w budynkach mocowane na wspornikach ściennych na podłożu innym niż drewno</t>
  </si>
  <si>
    <t>Przewody kabelkowe o łącznym przekroju żył do 30 mm2 układane p.t. w gotowych bruzdach w podłożu innym niż betonowe - LYżo 1x16 mm2; 750 V</t>
  </si>
  <si>
    <t>KNNR 5 0205-02</t>
  </si>
  <si>
    <t>Przewody kabelkowe o łącznym przekroju żył do 12.5 mm2 układane p.t. w gotowych bruzdach w podłożu innym niż betonowe -  LYżo 6mm2</t>
  </si>
  <si>
    <t>Tablice rozdzielcze ogólne</t>
  </si>
  <si>
    <t>Przyciski wyłączenia pożarowego</t>
  </si>
  <si>
    <t>Wyłączniki pożarowe p/t czerwone, PP, PU</t>
  </si>
  <si>
    <t>Zasilanie TG</t>
  </si>
  <si>
    <t>KNNR 5 1207-15</t>
  </si>
  <si>
    <t>Wykucie bruzd dla rur RS47 w cegle</t>
  </si>
  <si>
    <t>KNNR 5 0715-05</t>
  </si>
  <si>
    <t>Układanie kabli o masie do 5.5 kg/m w budynkach, budowlach lub na estakadach z mocowaniem</t>
  </si>
  <si>
    <t>KNNR 5 0726-10</t>
  </si>
  <si>
    <t>Zarobienie na sucho końca kabla 5-żyłowego o przekroju żył do 50 mm2 na napięcie do 1 kV o izolacji i powłoce z tworzyw sztucznych</t>
  </si>
  <si>
    <t>Tablica "TG"</t>
  </si>
  <si>
    <t>KNNR 3 0304-01</t>
  </si>
  <si>
    <t>Wykucie wnęk w ścianach z cegły na zaprawie wapiennej i cementowo-wapiennej z ich otynkowaniem dla rozdzielnic j.n. - powiększenie</t>
  </si>
  <si>
    <t>KNNR 5 0404-04</t>
  </si>
  <si>
    <t>Tablice rozdzielcze o masie do 50 kg - dostawa i montaż</t>
  </si>
  <si>
    <t>KNP 18 D13 1301-01</t>
  </si>
  <si>
    <t>Pomiary rozdzielnic prądu zmiennego lub stałego niskiego napięcia do 5 pól</t>
  </si>
  <si>
    <t>6.4</t>
  </si>
  <si>
    <t>Zasilanie  Tablica  T1-T6, PWP, TA, WD</t>
  </si>
  <si>
    <t>KNNR 5 0715-03</t>
  </si>
  <si>
    <t>Układanie kabli  YKY 5x16mm2, 1kV  w budynkach, budowlach lub na estakadach z mocowaniem</t>
  </si>
  <si>
    <t>KNNR 5 0726-09 analogia</t>
  </si>
  <si>
    <t>Zarobienie na sucho końca kabla 5-żyłowego o przekroju żył do 16 mm2 na napięcie do 1 kV o izolacji i powłoce z tworzyw sztucznych</t>
  </si>
  <si>
    <t>KNNR 5 1207-05</t>
  </si>
  <si>
    <t>Wykucie bruzd dla rur RKLG18, RS22 w cegle</t>
  </si>
  <si>
    <t>Przewody kabelkowe o łącznym przekroju żył do 30 mm2 układane p.t. w gotowych bruzdach w podłożu innym niż betonowe</t>
  </si>
  <si>
    <t>Przewody kabelkowe o łącznym przekroju żył do 30 mm2 układane p.t. w gotowych bruzdach w podłożu innym niż betonowe -  YDY 5x6 mm2; 750 V</t>
  </si>
  <si>
    <t>6.5</t>
  </si>
  <si>
    <t>Tablica  T1-T6, PWP, TA</t>
  </si>
  <si>
    <t>Wykucie wnęk w ścianach z cegły na zaprawie wapiennej i cementowo-wapiennej z ich otynkowaniem dla rozdzielnic j.n.</t>
  </si>
  <si>
    <t>KNNR 5 0404-01</t>
  </si>
  <si>
    <t>Tablice rozdzielcze o masie do 10 kg - dostawa i montaż</t>
  </si>
  <si>
    <t>Instalacje teleinformatyczne, RTV</t>
  </si>
  <si>
    <t>KNR AT-14 0107-01</t>
  </si>
  <si>
    <t>Montaż gniazd RJ45 w gnieździe abonenckim lub panelu</t>
  </si>
  <si>
    <t>KNR AT-14 0107-07</t>
  </si>
  <si>
    <t>Montaż gniazd RJ45 w gnieździe abonenckim lub panelu - dodatek za montaż gniazda RJ45 w wersji podtynkowej z podłączeniem modułu</t>
  </si>
  <si>
    <t>Gniazda RTV</t>
  </si>
  <si>
    <t>KNR AT-14 0110-13</t>
  </si>
  <si>
    <t>Montaż szafki wiszącej lub punktu pośredniego o masie ponad 2 do 12 kg -  PPD</t>
  </si>
  <si>
    <t>KNNR 5 0406-03</t>
  </si>
  <si>
    <t>Aparaty elektryczne o masie do 10 kg</t>
  </si>
  <si>
    <t>KNR AT-14 0110-07</t>
  </si>
  <si>
    <t>Montaż wyposażenia szaf dystrybucyjnych 19" - urządzenie aktywne</t>
  </si>
  <si>
    <t>kalk. własna</t>
  </si>
  <si>
    <t>Uruchomienie WIFI</t>
  </si>
  <si>
    <t>KNR AT-14 0110-03</t>
  </si>
  <si>
    <t>Montaż wyposażenia szaf dystrybucyjnych 19" - panel</t>
  </si>
  <si>
    <t>KNR AT-14 0102-01</t>
  </si>
  <si>
    <t>Układanie poziomego okablowania strukturalnego - odcinek poziomy, kabel miedziany</t>
  </si>
  <si>
    <t>KNR AT-14 0111-01</t>
  </si>
  <si>
    <t>Wykonanie pomiarów torów transmisyjnych zgodnie z wymaganiami</t>
  </si>
  <si>
    <t>pomiar</t>
  </si>
  <si>
    <t>Instalacja domofonowa</t>
  </si>
  <si>
    <t>KNNR 5 0409-01</t>
  </si>
  <si>
    <t>Urządzenia łączności wewnętrznej instalacji przyzywowej (domofonu) - tablica przyzywowa - Panel wywoławczy domofonu pionowy z daszkiem i modułem informacyjnym, [Rx2]</t>
  </si>
  <si>
    <t>KNNR 5 0404-05 analogia</t>
  </si>
  <si>
    <t>Ramka podtynkowa 3 modułowa do paneli</t>
  </si>
  <si>
    <t>Transformator 12V AC, 1,5A, 18 VA</t>
  </si>
  <si>
    <t>KNNR 5 0409-02</t>
  </si>
  <si>
    <t>Urządzenia łączności wewnętrznej instalacji przyzywowej (domofonu) - Unifon systemowy</t>
  </si>
  <si>
    <t>KNR AL-01 0111-03</t>
  </si>
  <si>
    <t>Montaż elektromechanicznych elementów obsługowych - Rygiel elektromagnetyczny 12V</t>
  </si>
  <si>
    <t>KNNR 5 0101-05</t>
  </si>
  <si>
    <t>Rury winidurowe o śr.do 20 mm układane p.t. w gotowych bruzdach w podłożu innym niż beton - RB-18</t>
  </si>
  <si>
    <t>Rury winidurowe o śr.do 20 mm układane p.t. w gotowych bruzdach w podłożu innym niż beton - RB-21</t>
  </si>
  <si>
    <t>Przewody kabelkowe o łącznym przekroju żył do 7.5 mm2 układane p.t. w gotowych bruzdach w podłożu innym niż betonowe - YLY 2x1,5mm2; 1000 V</t>
  </si>
  <si>
    <t>KNNR 5 0203-01</t>
  </si>
  <si>
    <t>Przewody kabelkowe o łącznym przekroju żył do 7.5 mm2 wciągane do rur</t>
  </si>
  <si>
    <t>KNR 5-06 0702-06 analogia</t>
  </si>
  <si>
    <t>Zarabianie i podłączanie końców kabli i przewodów stacyjnych bez ekranu o 10 żyłach o sr.do 0.9 mm pod zaciski</t>
  </si>
  <si>
    <t>końc.</t>
  </si>
  <si>
    <t>KNR AL-01 0102-03</t>
  </si>
  <si>
    <t>Montaż centralki oddymiania dwustrefowa</t>
  </si>
  <si>
    <t>KNR AL-01 0103-01</t>
  </si>
  <si>
    <t>Montaż dodatkowej karty funkcyjnej centrali alarmowej - Moduł kolejności włączania.</t>
  </si>
  <si>
    <t>KNR AL-01 0109-01</t>
  </si>
  <si>
    <t>Montaż akumulatora bezobsługowego o poj.  12V/3,6 Ah</t>
  </si>
  <si>
    <t>KNR AL-01 0206-06</t>
  </si>
  <si>
    <t>Montaż czujki specjalnej - zalania wodą - czujki wiatrowo-deszczowej</t>
  </si>
  <si>
    <t>KNR 7-08 0301-01 analogia</t>
  </si>
  <si>
    <t>Układy sterowania elektrycznego zespołem siłownik-układ kinematyczny-zawór regulacyjny</t>
  </si>
  <si>
    <t>ukl.</t>
  </si>
  <si>
    <t>Układy sterowania elektrycznego zespołem siłownik-układ kinematyczny-zawór regulacyjny - Napęd drzwiowy 24V, siła: 500N/wysuw.:500mm/1,0A + Konsola dla punktu obrotu</t>
  </si>
  <si>
    <t>KNR AL-01 0402-01</t>
  </si>
  <si>
    <t>Montaż przycisków oddymiania  z szybką i kluczem (polski)</t>
  </si>
  <si>
    <t>KNR AL-01 0401-01</t>
  </si>
  <si>
    <t>Montaż czujek pożarowych - Czujka dymowa</t>
  </si>
  <si>
    <t>Montaż elektromechanicznych elementów obsługowych</t>
  </si>
  <si>
    <t>Przewody kabelkowe o łącznym przekroju żył do 7.5 mm2 wciągane do rur  Przewód HDGs 300/500V 3x1,5mm2</t>
  </si>
  <si>
    <t>Przewody kabelkowe o łącznym przekroju żył do 7.5 mm2 wciągane do rur  kabel teletechn. YnTKSY 3x2x0,8mm</t>
  </si>
  <si>
    <t>Przewody kabelkowe o łącznym przekroju żył do 7.5 mm2 wciągane do rur.</t>
  </si>
  <si>
    <t>KNNR 5 1207-04</t>
  </si>
  <si>
    <t>Wykucie bruzd dla przewodów w tynku</t>
  </si>
  <si>
    <t>KNNR 5 0204-05</t>
  </si>
  <si>
    <t>Przewody kabelkowe płaskie o łącznym przekroju żył do 7.5 mm2 układane w tynku innym niż betonowy</t>
  </si>
  <si>
    <t>KNNR 5 1206-07</t>
  </si>
  <si>
    <t>Podłączanie silników w obudowie specjalnej - przewód lub kabel  4-żyłowy Cu o przekroju żyły do 6 mm2 - siłowniki</t>
  </si>
  <si>
    <t>KNR AL-01 0603-01</t>
  </si>
  <si>
    <t>Uruchomienie i pomiary linii dozorowych adresowych - do 2 adresów</t>
  </si>
  <si>
    <t>adres</t>
  </si>
  <si>
    <t>Instalacja sygnalizacji włamania</t>
  </si>
  <si>
    <t>KNR AL-01 0101-04</t>
  </si>
  <si>
    <t>Montaż kompaktowej centrali alarmowej do 32 linii dozorowych</t>
  </si>
  <si>
    <t>KNR AL-01 0103-02</t>
  </si>
  <si>
    <t>Montaż dodatkowej karty funkcyjnej centrali alarmowej - karta (grupowa) konwencjonalna do 8 linii</t>
  </si>
  <si>
    <t>KNR AL-01 0109-02</t>
  </si>
  <si>
    <t>Montaż akumulatora bezobsługowego o poj. do 130 Ah</t>
  </si>
  <si>
    <t>KNR AL-01 0112-01</t>
  </si>
  <si>
    <t>Montaż zasilacza</t>
  </si>
  <si>
    <t>KNR AL-01 0108-04</t>
  </si>
  <si>
    <t>Montaż sygnalizatora optyczno- akustycznego zewnętrznego bez zasilania awaryjmego</t>
  </si>
  <si>
    <t>KNR AL-01 0201-01</t>
  </si>
  <si>
    <t>Montaż czujki ruchu- pasywna podczerwieni</t>
  </si>
  <si>
    <t>KNR AL-01 0208-01</t>
  </si>
  <si>
    <t>Montaż elementów obsługowych - klawiatura szyfrowa</t>
  </si>
  <si>
    <t>Przewody kabelkowe o łącznym przekroju żył do 7.5 mm2 układane p.t. w gotowych bruzdach w podłożu innym niż betonowe   Przewód miedziany w izolacji i powłoce polwinitowej 750V YDYżo 3x1,5mm2</t>
  </si>
  <si>
    <t>KNR AL-01 0601-01 SST-E1 poz 3.1</t>
  </si>
  <si>
    <t>Przygotowanie i testowanie oprogramowania systemu alarmowego - do 25 kroków programowych (instrukcji)</t>
  </si>
  <si>
    <t>system</t>
  </si>
  <si>
    <t>KNR AL-01 0602-06 SST-E1 poz 3.1</t>
  </si>
  <si>
    <t>Sprawdzenie i uruchomienie linii dozorowych konwencjonalnych do 32 elementów liniowych</t>
  </si>
  <si>
    <t>KNR AL-01 0604-02 SST-E1 poz 3.1</t>
  </si>
  <si>
    <t>Praca próbna i testowanie systemu alarmowego do 48 elementów liniowych</t>
  </si>
  <si>
    <t>Fotowoltaika</t>
  </si>
  <si>
    <t>KNR 5-14 0101-02</t>
  </si>
  <si>
    <t>Montaż przyścienny -  trójfazowy falownik</t>
  </si>
  <si>
    <t>KNNR 5 0404-03</t>
  </si>
  <si>
    <t>Tablice rozdzielcze o masie do 30 kg</t>
  </si>
  <si>
    <t>KNR 5-08 0701-20</t>
  </si>
  <si>
    <t>Montaż na gotowym podłożu konstrukcji wsporczych modułów fotowolt., mocowanie dach pochyły</t>
  </si>
  <si>
    <t>KNR 5-10 1007-09 analogia</t>
  </si>
  <si>
    <t>KNR 5-10 1001-01</t>
  </si>
  <si>
    <t>Montaż urządzenia antypompującego</t>
  </si>
  <si>
    <t>Przewody kabelkowe YDY 5x1.5 mm2 układane p.t. w gotowych bruzdach w podłożu innym niż betonowe</t>
  </si>
  <si>
    <t>Przewody HDGS 2x1,5; 500 V układane p.t. w gotowych bruzdach w podłożu innym niż betonowe</t>
  </si>
  <si>
    <t>Przewody RS układane p.t. w gotowych bruzdach w podłożu innym niż betonowe</t>
  </si>
  <si>
    <t>KNNR 5 0103-03</t>
  </si>
  <si>
    <t>Rury winidurowe o śr.do 37 mm układane n.t. na betonie</t>
  </si>
  <si>
    <t>KNNR 5 0111-02</t>
  </si>
  <si>
    <t>Kanał instalacyjny z PCW o szerokości podstawy do 60 mm - podłoże inne niż betonowe</t>
  </si>
  <si>
    <t>KNNR 5 0202-02</t>
  </si>
  <si>
    <t>Kabel solarny 4 mm2 podwójna izolacja czarna  układany w gotowych korytkach</t>
  </si>
  <si>
    <t>Kabel solarny 4 mm2 podwójna izolacja czerwony  układany w gotowych korytkach</t>
  </si>
  <si>
    <t>KNR 5-06 0707-02 analogia</t>
  </si>
  <si>
    <t>Zarabianie i podłączanie kabli o sr. 10 mm do gniazd współosiowych - Złączka typu MC4/komplet</t>
  </si>
  <si>
    <t>KNNR 5 0202-03</t>
  </si>
  <si>
    <t>Przewód typu YLY(żo) 1x16 mm2 układany n/k</t>
  </si>
  <si>
    <t>KNR 5-10 0315-01</t>
  </si>
  <si>
    <t>Montaż przepustów rurowych w stropach i ścianach z betonu o gr. do 10 cm z mechanicznym przebijaniem otworów - rura o śr. zewn. do 40 mm</t>
  </si>
  <si>
    <t>przepust.</t>
  </si>
  <si>
    <t>KNP 18 1360-01.01 analogia</t>
  </si>
  <si>
    <t>Uruchomienie falownika w powiązaniu z całością procesu technologicznego,</t>
  </si>
  <si>
    <t>Instalacja odgromowa</t>
  </si>
  <si>
    <t>KNNR 5 0719-02</t>
  </si>
  <si>
    <t>Ręczne rozebranie nawierzchni chodników z brukowca o grubości 16-20 cm</t>
  </si>
  <si>
    <t>KNNR 5 0605-05</t>
  </si>
  <si>
    <t>Montaż uziomów poziomych w wykopie o głębokości do 0.8 m; kat.gruntu III</t>
  </si>
  <si>
    <t>KNNR 5 0611-01</t>
  </si>
  <si>
    <t>Łączenie przewodów instalacji odgromowej lub przewodów wyrównawczych z bednarki o przekroju do 120 mm2 w wykopie</t>
  </si>
  <si>
    <t>Ułożenie rur osłonowych z PCW o śr.do 140 mm - FI-75</t>
  </si>
  <si>
    <t>KNNR 5 0720-09</t>
  </si>
  <si>
    <t>Nawierzchnie po robotach kablowych na chodnikach, wjazdach, placach z betonowej kostki brukowe o grubości 8 cm na podsypce cementowo-piaskowej - 100% z demontażu</t>
  </si>
  <si>
    <t>KNNR 5 1207-09</t>
  </si>
  <si>
    <t>Wykucie bruzd dla rur RKLG21, RS28 w cegle</t>
  </si>
  <si>
    <t>KNNR 5 0101-01 analogia</t>
  </si>
  <si>
    <t>Rurka odgromowa o podwyższonej odporności ogniowej 20/14 mm  układana p.t. w gotowych bruzdach</t>
  </si>
  <si>
    <t>KNNR 5 0201-06</t>
  </si>
  <si>
    <t>Druty ocynkow. śr. 10 mm wciągane do rur</t>
  </si>
  <si>
    <t>KNNR 5 0601-02</t>
  </si>
  <si>
    <t>Przewody instalacji odgromowej nienaprężane poziome mocowane na wspornikach klejonych - druty stalowe ocynkowane śr.8mm</t>
  </si>
  <si>
    <t>KNNR 5 0601-01</t>
  </si>
  <si>
    <t>Przewody instalacji odgromowej nienaprężane poziome mocowane na wspornikach obsadzanych o wys. min 14 cm</t>
  </si>
  <si>
    <t>KNNR 5 0612-01</t>
  </si>
  <si>
    <t>Złącza w instalacji odgromowej  montowane na dachu - złącza uniwersalne krzyżowe</t>
  </si>
  <si>
    <t>KNNR 5 0301-03</t>
  </si>
  <si>
    <t>Przygotowanie podłoża pod osprzęt instalacyjny mocowany przez przykręcenie do kołków plastykowych osadzonych w podłożu betonowym</t>
  </si>
  <si>
    <t>KNNR 5 0304-03</t>
  </si>
  <si>
    <t>Skrzynka probiercza 150x150x100  przykręcana</t>
  </si>
  <si>
    <t>KNNR 5 0612-06</t>
  </si>
  <si>
    <t>Złącza kontrolne w instalacji odgromowej  - połączenie pręt-płaskownik</t>
  </si>
  <si>
    <t>Złącza do rynny okapowej w instalacji odgromowej montowane na dachu</t>
  </si>
  <si>
    <t>Demontaże</t>
  </si>
  <si>
    <t>Demontaż istniejącej instalacji elektrycznej.</t>
  </si>
  <si>
    <t>r-g</t>
  </si>
  <si>
    <t>KNNR 9 0501-06</t>
  </si>
  <si>
    <t>Demontaż opraw oświetleniowych świetlówkowych z kloszem</t>
  </si>
  <si>
    <t>KNNR 9 0501-05</t>
  </si>
  <si>
    <t>Demontaż opraw oświetleniowych żarowych i halogenowych</t>
  </si>
  <si>
    <t>KNR 4-04 1107-01</t>
  </si>
  <si>
    <t>Transport złomu samochodem skrzyniowym z załadunkiem i wyładunkiem ręcznym na odl. do 1 km</t>
  </si>
  <si>
    <t>KNR 4-04 1107-04</t>
  </si>
  <si>
    <t>Transport złomu samochodem skrzyniowym - dodatek za każdy rozpoczęty km ponad 1 km -  do 6km Krotność = 5</t>
  </si>
  <si>
    <t>Przebicia ścian i stropów, tynkowanie bruzd</t>
  </si>
  <si>
    <t>KNNR 5 1209-10,04</t>
  </si>
  <si>
    <t>Przebijanie otworów śr. 80 o długości do 20 cm w ścianach lub stropach z betonu</t>
  </si>
  <si>
    <t>KNR 4-03 1003-22</t>
  </si>
  <si>
    <t>Mechaniczne przebijanie otworów w ścianach lub stropach z cegły o długości przebicia do 2 1/2 ceg. - śr. rury do 40 mm</t>
  </si>
  <si>
    <t>KNNR 5 1209-06,01</t>
  </si>
  <si>
    <t>Przebijanie otworów śr. 25mm o długości do 1 1/2 ceg. w ścianach lub stropach z cegły</t>
  </si>
  <si>
    <t>KNNR 5 1209-04,01</t>
  </si>
  <si>
    <t>Przebijanie otworów śr. 25mm o długości do 1/2 ceg. w ścianach lub stropach z cegły</t>
  </si>
  <si>
    <t>KNNR 5 1209-05,01</t>
  </si>
  <si>
    <t>Przebijanie otworów śr. 25mm o długości do 1 ceg. w ścianach lub stropach z cegły</t>
  </si>
  <si>
    <t>KNNR 5 1208-05</t>
  </si>
  <si>
    <t>Zaprawianie bruzd - ręczne przygotowanie zaprawy cementowo-wapiennej</t>
  </si>
  <si>
    <t>KNNR 5 1208-02</t>
  </si>
  <si>
    <t>Zaprawianie bruzd o szerokości do 50 mm</t>
  </si>
  <si>
    <t>KNR 4-01 0706-02 analogia</t>
  </si>
  <si>
    <t>Wykon. uszczelnień tynku zwyk.kat.III ognioodporną masą uszczelniaj.  w miejscach po zamurowanych przebiciach o pow. 1 miejsca do 0.10 m2 na ścianach</t>
  </si>
  <si>
    <t>Prace kontrolno-pomiarowe</t>
  </si>
  <si>
    <t>KNNR 5 1301-01</t>
  </si>
  <si>
    <t>Sprawdzenie i pomiar 1-fazowego obwodu elektrycznego niskiego napięcia</t>
  </si>
  <si>
    <t>KNNR 5 1301-02</t>
  </si>
  <si>
    <t>Sprawdzenie i pomiar 3-fazowego obwodu elektrycznego niskiego napięcia</t>
  </si>
  <si>
    <t>KNNR 5 1302-02</t>
  </si>
  <si>
    <t>Badanie linii kablowej N.N.- kabel 3-żyłowy</t>
  </si>
  <si>
    <t>odc.</t>
  </si>
  <si>
    <t>KNNR 5 1305-01</t>
  </si>
  <si>
    <t>Sprawdzenie samoczynnego wyłączania zasilania (pierwsza próba)</t>
  </si>
  <si>
    <t>prób.</t>
  </si>
  <si>
    <t>KNNR 5 1305-02</t>
  </si>
  <si>
    <t>Sprawdzenie samoczynnego wyłączania zasilania (następna próba)</t>
  </si>
  <si>
    <t>KNNR 5 1304-01</t>
  </si>
  <si>
    <t>Badania i pomiary instalacji uziemiającej (pierwszy pomiar)</t>
  </si>
  <si>
    <t>KNNR 5 1304-02</t>
  </si>
  <si>
    <t>Badania i pomiary instalacji uziemiającej (każdy następny pomiar)</t>
  </si>
  <si>
    <t>KNNR 5 1304-03</t>
  </si>
  <si>
    <t>Badania i pomiary instalacji piorunochronnej (pierwszy pomiar)</t>
  </si>
  <si>
    <t>KNNR 5 1304-04</t>
  </si>
  <si>
    <t>Badania i pomiary instalacji piorunochronnej (każdy następny pomiar)</t>
  </si>
  <si>
    <t>KNR 13-21 0301-03</t>
  </si>
  <si>
    <t>Pomiary natężenia oświetlenia - pierwszy komplet 5 pomiarów dokonywanych na stanowisku</t>
  </si>
  <si>
    <t>kpl.pom.</t>
  </si>
  <si>
    <t>jedn. obm.</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</si>
  <si>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</si>
  <si>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</si>
  <si>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</si>
  <si>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</si>
  <si>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</si>
  <si>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</si>
  <si>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</si>
  <si>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</si>
  <si>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</si>
  <si>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</si>
  <si>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</si>
  <si>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</si>
  <si>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</si>
  <si>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</si>
  <si>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</si>
  <si>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</si>
  <si>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</si>
  <si>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</si>
  <si>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</si>
  <si>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</si>
  <si>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</si>
  <si>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</si>
  <si>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</si>
  <si>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</si>
  <si>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</si>
  <si>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</si>
  <si>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</si>
  <si>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</si>
  <si>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</si>
  <si>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</si>
  <si>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</si>
  <si>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</si>
  <si>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</si>
  <si>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</si>
  <si>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</si>
  <si>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</si>
  <si>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</si>
  <si>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</si>
  <si>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</si>
  <si>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</si>
  <si>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</si>
  <si>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</si>
  <si>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</si>
  <si>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</si>
  <si>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</si>
  <si>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</si>
  <si>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</si>
  <si>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</si>
  <si>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</si>
  <si>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</si>
  <si>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</si>
  <si>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</si>
  <si>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</si>
  <si>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</si>
  <si>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1.66</t>
  </si>
  <si>
    <t>1.67</t>
  </si>
  <si>
    <t>1.68</t>
  </si>
  <si>
    <t>1.74</t>
  </si>
  <si>
    <t>1.75</t>
  </si>
  <si>
    <t>1.76</t>
  </si>
  <si>
    <t>1.77</t>
  </si>
  <si>
    <t>1.78</t>
  </si>
  <si>
    <t>2.1.1</t>
  </si>
  <si>
    <t>2.1.2</t>
  </si>
  <si>
    <t>2.1.3</t>
  </si>
  <si>
    <t>2.1.4</t>
  </si>
  <si>
    <t>2.1.5</t>
  </si>
  <si>
    <t>2.1.6</t>
  </si>
  <si>
    <t>2.1.7</t>
  </si>
  <si>
    <t>2.1.8</t>
  </si>
  <si>
    <t>2.1.9</t>
  </si>
  <si>
    <t>2.2.1</t>
  </si>
  <si>
    <t>2.2.2</t>
  </si>
  <si>
    <t>2.3.1</t>
  </si>
  <si>
    <t>2.3.2</t>
  </si>
  <si>
    <t>2.3.3</t>
  </si>
  <si>
    <t>2.3.4</t>
  </si>
  <si>
    <t>2.3.5</t>
  </si>
  <si>
    <t>2.4.1</t>
  </si>
  <si>
    <t>2.4.2</t>
  </si>
  <si>
    <t>2.4.3</t>
  </si>
  <si>
    <t>2.4.9</t>
  </si>
  <si>
    <t>2.4.10</t>
  </si>
  <si>
    <t>2.4.11</t>
  </si>
  <si>
    <t>2.4.12</t>
  </si>
  <si>
    <t>2.4.13</t>
  </si>
  <si>
    <t>3.1.1</t>
  </si>
  <si>
    <t>3.1.2</t>
  </si>
  <si>
    <t>3.1.3</t>
  </si>
  <si>
    <t>3.1.4</t>
  </si>
  <si>
    <t>3.1.5</t>
  </si>
  <si>
    <t>3.1.6</t>
  </si>
  <si>
    <t>3.1.7</t>
  </si>
  <si>
    <t>3.2.1</t>
  </si>
  <si>
    <t>3.2.2</t>
  </si>
  <si>
    <t>3.2.3</t>
  </si>
  <si>
    <t>3.2.4</t>
  </si>
  <si>
    <t>3.2.5</t>
  </si>
  <si>
    <t>3.2.6</t>
  </si>
  <si>
    <t>3.2.8</t>
  </si>
  <si>
    <t>3.2.10</t>
  </si>
  <si>
    <t>3.2.11</t>
  </si>
  <si>
    <t>3.2.13</t>
  </si>
  <si>
    <t>3.2.14</t>
  </si>
  <si>
    <t>3.2.15</t>
  </si>
  <si>
    <t>3.3.1</t>
  </si>
  <si>
    <t>3.3.2</t>
  </si>
  <si>
    <t>3.3.3</t>
  </si>
  <si>
    <t>3.3.4</t>
  </si>
  <si>
    <t>3.3.5</t>
  </si>
  <si>
    <t>3.3.6</t>
  </si>
  <si>
    <t>3.3.7</t>
  </si>
  <si>
    <t>3.3.8</t>
  </si>
  <si>
    <t>3.3.9</t>
  </si>
  <si>
    <t>3.3.10</t>
  </si>
  <si>
    <t>3.3.11</t>
  </si>
  <si>
    <t>3.3.12</t>
  </si>
  <si>
    <t>3.4.2</t>
  </si>
  <si>
    <t>3.4.3</t>
  </si>
  <si>
    <t>3.4.4</t>
  </si>
  <si>
    <t>3.4.5</t>
  </si>
  <si>
    <t>3.4.6</t>
  </si>
  <si>
    <t>3.4.7</t>
  </si>
  <si>
    <t>3.4.8</t>
  </si>
  <si>
    <t>4.1.1</t>
  </si>
  <si>
    <t>4.1.2</t>
  </si>
  <si>
    <t>4.1.3</t>
  </si>
  <si>
    <t>4.1.4</t>
  </si>
  <si>
    <t>4.1.5</t>
  </si>
  <si>
    <t>4.1.6</t>
  </si>
  <si>
    <t>4.1.7</t>
  </si>
  <si>
    <t>4.1.8</t>
  </si>
  <si>
    <t>4.1.9</t>
  </si>
  <si>
    <t>4.1.10</t>
  </si>
  <si>
    <t>4.1.11</t>
  </si>
  <si>
    <t>4.1.12</t>
  </si>
  <si>
    <t>4.2.1</t>
  </si>
  <si>
    <t>4.2.2</t>
  </si>
  <si>
    <t>4.2.3</t>
  </si>
  <si>
    <t>4.2.4</t>
  </si>
  <si>
    <t>4.2.6</t>
  </si>
  <si>
    <t>4.2.7</t>
  </si>
  <si>
    <t>4.2.8</t>
  </si>
  <si>
    <t>4.2.10</t>
  </si>
  <si>
    <t>4.2.12</t>
  </si>
  <si>
    <t>4.2.13</t>
  </si>
  <si>
    <t>4.2.15</t>
  </si>
  <si>
    <t>4.2.16</t>
  </si>
  <si>
    <t>4.3.1</t>
  </si>
  <si>
    <t>4.3.2</t>
  </si>
  <si>
    <t>4.3.3</t>
  </si>
  <si>
    <t>4.3.4</t>
  </si>
  <si>
    <t>4.3.5</t>
  </si>
  <si>
    <t>4.3.6</t>
  </si>
  <si>
    <t>4.3.7</t>
  </si>
  <si>
    <t>4.3.8</t>
  </si>
  <si>
    <t>4.3.9</t>
  </si>
  <si>
    <t>4.3.10</t>
  </si>
  <si>
    <t>4.3.11</t>
  </si>
  <si>
    <t>4.4.1</t>
  </si>
  <si>
    <t>4.4.2</t>
  </si>
  <si>
    <t>4.4.3</t>
  </si>
  <si>
    <t>4.4.4</t>
  </si>
  <si>
    <t>4.4.5</t>
  </si>
  <si>
    <t>4.4.6</t>
  </si>
  <si>
    <t>4.4.7</t>
  </si>
  <si>
    <t>5.1.1</t>
  </si>
  <si>
    <t>5.1.2</t>
  </si>
  <si>
    <t>5.1.3</t>
  </si>
  <si>
    <t>5.1.4</t>
  </si>
  <si>
    <t>5.1.5</t>
  </si>
  <si>
    <t>5.1.6</t>
  </si>
  <si>
    <t>5.1.7</t>
  </si>
  <si>
    <t>5.1.8</t>
  </si>
  <si>
    <t>5.1.9</t>
  </si>
  <si>
    <t>5.1.10</t>
  </si>
  <si>
    <t>5.2.1</t>
  </si>
  <si>
    <t>5.2.2</t>
  </si>
  <si>
    <t>5.2.3</t>
  </si>
  <si>
    <t>5.2.4</t>
  </si>
  <si>
    <t>5.2.5</t>
  </si>
  <si>
    <t>5.2.6</t>
  </si>
  <si>
    <t>5.2.7</t>
  </si>
  <si>
    <t>5.2.8</t>
  </si>
  <si>
    <t>5.2.9</t>
  </si>
  <si>
    <t>5.2.10</t>
  </si>
  <si>
    <t>5.2.11</t>
  </si>
  <si>
    <t>5.2.12</t>
  </si>
  <si>
    <t>5.3.1</t>
  </si>
  <si>
    <t>5.3.2</t>
  </si>
  <si>
    <t>5.3.3</t>
  </si>
  <si>
    <t>5.3.4</t>
  </si>
  <si>
    <t>5.3.5</t>
  </si>
  <si>
    <t>5.3.6</t>
  </si>
  <si>
    <t>5.3.7</t>
  </si>
  <si>
    <t>5.3.8</t>
  </si>
  <si>
    <t>5.3.9</t>
  </si>
  <si>
    <t>5.3.10</t>
  </si>
  <si>
    <t>5.4.1</t>
  </si>
  <si>
    <t>5.4.2</t>
  </si>
  <si>
    <t>5.4.3</t>
  </si>
  <si>
    <t>5.4.4</t>
  </si>
  <si>
    <t>5.4.5</t>
  </si>
  <si>
    <t>DACH</t>
  </si>
  <si>
    <t>6.1.2</t>
  </si>
  <si>
    <t>6.1.3</t>
  </si>
  <si>
    <t>6.1.4</t>
  </si>
  <si>
    <t>6.1.5</t>
  </si>
  <si>
    <t>6.1.6</t>
  </si>
  <si>
    <t>7.3</t>
  </si>
  <si>
    <t>7.4</t>
  </si>
  <si>
    <t>7.5</t>
  </si>
  <si>
    <t>7.6</t>
  </si>
  <si>
    <t>7.7</t>
  </si>
  <si>
    <t>7.8</t>
  </si>
  <si>
    <t>7.9</t>
  </si>
  <si>
    <t>7.10</t>
  </si>
  <si>
    <t>7.11</t>
  </si>
  <si>
    <t>7.12</t>
  </si>
  <si>
    <t>8.5</t>
  </si>
  <si>
    <t>8.6</t>
  </si>
  <si>
    <t>8.7</t>
  </si>
  <si>
    <t>8.8</t>
  </si>
  <si>
    <t>8.9</t>
  </si>
  <si>
    <t>8.10</t>
  </si>
  <si>
    <t>8.11</t>
  </si>
  <si>
    <t>8.13</t>
  </si>
  <si>
    <t>8.14</t>
  </si>
  <si>
    <t>8.15</t>
  </si>
  <si>
    <t>8.16</t>
  </si>
  <si>
    <t>8.17</t>
  </si>
  <si>
    <t>8.18</t>
  </si>
  <si>
    <t>8.19</t>
  </si>
  <si>
    <t>8.20</t>
  </si>
  <si>
    <t>8.21</t>
  </si>
  <si>
    <t>8.22</t>
  </si>
  <si>
    <t>8.23</t>
  </si>
  <si>
    <t>9.1</t>
  </si>
  <si>
    <t>9.2</t>
  </si>
  <si>
    <t>9.3</t>
  </si>
  <si>
    <t>9.4</t>
  </si>
  <si>
    <t>9.5</t>
  </si>
  <si>
    <t>9.6</t>
  </si>
  <si>
    <t>9.7</t>
  </si>
  <si>
    <t>9.8</t>
  </si>
  <si>
    <t>9.9</t>
  </si>
  <si>
    <t>9.10</t>
  </si>
  <si>
    <t>9.11</t>
  </si>
  <si>
    <t>9.12</t>
  </si>
  <si>
    <t>10.1</t>
  </si>
  <si>
    <t>10.2</t>
  </si>
  <si>
    <t>10.3</t>
  </si>
  <si>
    <t>10.4</t>
  </si>
  <si>
    <t>10.5</t>
  </si>
  <si>
    <t>10.6</t>
  </si>
  <si>
    <t>10.7</t>
  </si>
  <si>
    <t>10.8</t>
  </si>
  <si>
    <t>10.9</t>
  </si>
  <si>
    <t>10.10</t>
  </si>
  <si>
    <t>10.11</t>
  </si>
  <si>
    <t>10.12</t>
  </si>
  <si>
    <t>10.13</t>
  </si>
  <si>
    <t>11.1</t>
  </si>
  <si>
    <t>11.2</t>
  </si>
  <si>
    <t>11.3</t>
  </si>
  <si>
    <t>11.4</t>
  </si>
  <si>
    <t>11.5</t>
  </si>
  <si>
    <t>11.6</t>
  </si>
  <si>
    <t>11.7</t>
  </si>
  <si>
    <t>11.8</t>
  </si>
  <si>
    <t>12.1</t>
  </si>
  <si>
    <t>12.2</t>
  </si>
  <si>
    <t>12.3</t>
  </si>
  <si>
    <t>12.4</t>
  </si>
  <si>
    <t>12.5</t>
  </si>
  <si>
    <t>13.1</t>
  </si>
  <si>
    <t>13.2</t>
  </si>
  <si>
    <t>13.3</t>
  </si>
  <si>
    <t>13.4</t>
  </si>
  <si>
    <t>13.5</t>
  </si>
  <si>
    <t>13.6</t>
  </si>
  <si>
    <t>14.1</t>
  </si>
  <si>
    <t>14.2</t>
  </si>
  <si>
    <t>14.3</t>
  </si>
  <si>
    <t>14.4</t>
  </si>
  <si>
    <t>14.5</t>
  </si>
  <si>
    <t>RAZEM</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</si>
  <si>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</si>
  <si>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</si>
  <si>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</si>
  <si>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</si>
  <si>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</si>
  <si>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</si>
  <si>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</si>
  <si>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</si>
  <si>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</si>
  <si>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</si>
  <si>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</si>
  <si>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</si>
  <si>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</si>
  <si>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</si>
  <si>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</si>
  <si>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</si>
  <si>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</si>
  <si>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</si>
  <si>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</si>
  <si>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</si>
  <si>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</si>
  <si>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</si>
  <si>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</si>
  <si>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</si>
  <si>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</si>
  <si>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</si>
  <si>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2.6</t>
  </si>
  <si>
    <t>2.7</t>
  </si>
  <si>
    <t>2.8</t>
  </si>
  <si>
    <t>2.9</t>
  </si>
  <si>
    <t>2.10</t>
  </si>
  <si>
    <t>BUDYNKI NR 2, 3</t>
  </si>
  <si>
    <t>3.5</t>
  </si>
  <si>
    <t>3.6</t>
  </si>
  <si>
    <t>3.7</t>
  </si>
  <si>
    <t>3.8</t>
  </si>
  <si>
    <t>3.9</t>
  </si>
  <si>
    <t>3.10</t>
  </si>
  <si>
    <t>3.11</t>
  </si>
  <si>
    <t>3.12</t>
  </si>
  <si>
    <t>3.13</t>
  </si>
  <si>
    <t>3.14</t>
  </si>
  <si>
    <t>3.15</t>
  </si>
  <si>
    <t>3.16</t>
  </si>
  <si>
    <t>3.17</t>
  </si>
  <si>
    <t>3.18</t>
  </si>
  <si>
    <t>3.19</t>
  </si>
  <si>
    <t>3.20</t>
  </si>
  <si>
    <t>Rozbiórka pieców kaflowych wraz z wywozem i utylizacją</t>
  </si>
  <si>
    <t>1.1.1</t>
  </si>
  <si>
    <t>1.2.1</t>
  </si>
  <si>
    <t>1.2.2</t>
  </si>
  <si>
    <t>1.2.3</t>
  </si>
  <si>
    <t>1.2.4</t>
  </si>
  <si>
    <t>1.2.5</t>
  </si>
  <si>
    <t>1.2.6</t>
  </si>
  <si>
    <t>2.2.3</t>
  </si>
  <si>
    <t>2.2.4</t>
  </si>
  <si>
    <t>2.2.5</t>
  </si>
  <si>
    <t>2.2.6</t>
  </si>
  <si>
    <t>3.1.8</t>
  </si>
  <si>
    <t>3.1.9</t>
  </si>
  <si>
    <t>6.2.1</t>
  </si>
  <si>
    <t>6.2.2</t>
  </si>
  <si>
    <t>6.2.3</t>
  </si>
  <si>
    <t>6.2.4</t>
  </si>
  <si>
    <t>6.2.5</t>
  </si>
  <si>
    <t>6.2.6</t>
  </si>
  <si>
    <t>6.3.1</t>
  </si>
  <si>
    <t>6.3.2</t>
  </si>
  <si>
    <t>6.3.3</t>
  </si>
  <si>
    <t>6.3.4</t>
  </si>
  <si>
    <t>6.3.5</t>
  </si>
  <si>
    <t>7.1.2</t>
  </si>
  <si>
    <t>7.1.3</t>
  </si>
  <si>
    <t>7.2.1</t>
  </si>
  <si>
    <t>7.2.2</t>
  </si>
  <si>
    <t>7.2.3</t>
  </si>
  <si>
    <t>7.2.4</t>
  </si>
  <si>
    <t>7.2.5</t>
  </si>
  <si>
    <t>7.1.4</t>
  </si>
  <si>
    <t>7.1.5</t>
  </si>
  <si>
    <t>7.1.1</t>
  </si>
  <si>
    <t>Wentylator dachowy z automatyką; przepływ 140m3/h; podciśń. max 400Pa; ?125; moc max 89W, max. 0,4A; skrzynka na wymiar: 430x430x500</t>
  </si>
  <si>
    <t>Wentylator dachowy z automatyką; przepływ 200m3/h; podciśń. max 400Pa; ?160; moc max 89W, max. 0,4A; skrzynka na wymiar: 430x430x950</t>
  </si>
  <si>
    <t>Wentylator dachowy z automatyką; przepływ 220m3/h; podciśń. max 400Pa; ?160; moc max 89W, max. 0,4A; skrzynka na wymiar: 430x430x950</t>
  </si>
  <si>
    <t>Wentylator dachowy z automatyką; przepływ 350m3/h; podciśń. max 400Pa; ?200; moc max 89W, max. 0,4A; skrzynka na wymiar: 430x430x650</t>
  </si>
  <si>
    <t>kwota netto</t>
  </si>
  <si>
    <t>VAT</t>
  </si>
  <si>
    <t>kwota brutto</t>
  </si>
  <si>
    <t>Roboty santarne</t>
  </si>
  <si>
    <t>Roboty elektryczne</t>
  </si>
  <si>
    <t>Roboty termomodernizacyjne</t>
  </si>
  <si>
    <t>Wykucie z muru ościeżnic - drzwi zewnętrzne</t>
  </si>
  <si>
    <t>Paroizolacja - folia dachowa</t>
  </si>
  <si>
    <t>Membrana dachowa - wiatroizolacja</t>
  </si>
  <si>
    <t>Drzwi zewnętrzne drewniane - D1; dwuskrzydłowe z naświetlem stałym</t>
  </si>
  <si>
    <t>Drzwi zewnętrzne drewniane - D2, dwuskrzydłowe z naświetlem stałym</t>
  </si>
  <si>
    <t>Drzwi zewnętrzne drewniane - D3; jednoskrzydłowe z naświetlem - do windy</t>
  </si>
  <si>
    <t>Tynk cementowo-wapienny kat. III na ścianach</t>
  </si>
  <si>
    <t>Dwukrotne malowanie farbami emulsyjnymi  powierzchni wewnętrznych z gruntowaniem</t>
  </si>
  <si>
    <t>KNR 2-02 0120-04</t>
  </si>
  <si>
    <t>KNR 2-02 1501-05</t>
  </si>
  <si>
    <t>Obudowa połaci dachu płytami gipsowo-kartonowymi na rusztach metalowych (REI30)</t>
  </si>
  <si>
    <t>KNR-W 2-02 1001-03</t>
  </si>
  <si>
    <t>Okna drewniane zespolone wzmocnione mieszkaniowe fabrycznie wykończone o powierzchni do 2.0 m2 - okno Ok 3 wyposażone w nawietrzak higrosterowalny o wyd. 5-29m3/h</t>
  </si>
  <si>
    <t>Okna drewniane zespolone wzmocnione mieszkaniowe fabrycznie wykończone o powierzchni do 2.0 m2 - okno Ok 4 wyposażone w nawietrzak higrosterowalny o wyd. 5-29 m3/h</t>
  </si>
  <si>
    <t>Okna drewniane zespolone wzmocnione mieszkaniowe fabrycznie wykończone o powierzchni do 2.0 m2 - okno Ok 2 - wyposażone w nawietrzak higrosterowalny o wyd. 5-29m3/h</t>
  </si>
  <si>
    <t>Okna drewniane zespolone wzmocnione mieszkaniowe fabrycznie wykończone o powierzchni do 2.0 m2 - okno Ok 1 wyposażone w nawietrzak higrosterowalny o wyd. 5-29m3/h</t>
  </si>
  <si>
    <t>4.5</t>
  </si>
  <si>
    <t>4.6</t>
  </si>
  <si>
    <t>5.5</t>
  </si>
  <si>
    <t>5.6</t>
  </si>
  <si>
    <r>
      <t xml:space="preserve">DACH - IZOLACJA WEŁNĄ MIN. o wsp. </t>
    </r>
    <r>
      <rPr>
        <b/>
        <sz val="10"/>
        <color theme="1"/>
        <rFont val="Calibri"/>
        <family val="2"/>
        <charset val="238"/>
      </rPr>
      <t>ʎ ≤ 0,031W/mK</t>
    </r>
  </si>
  <si>
    <t>ELEWACJA FRONTOWA_DOCIEPLENIE OD WEWNĄTRZ PIANKA REZOLOWĄ o wsp.  ʎ ≤ 0,018W/mK</t>
  </si>
  <si>
    <t>IZOLACJA PODŁOGI NA GRUNCIE I STROPU NAD PIWNICĄ - styropian EPS 100-038 gr. 12 cm</t>
  </si>
  <si>
    <t>Usunięcie z piwnic budynku nadmiaru ziemi</t>
  </si>
  <si>
    <t>Wywóz nadmiaru ziemi</t>
  </si>
  <si>
    <t>Podkłady betonowe w budownictwie mieszkaniowym i użyteczności publicznej - chudy beton</t>
  </si>
  <si>
    <t>Izolacja stropu nad piwnicą</t>
  </si>
  <si>
    <t>Stacja uzdatniania wody dla kotłowni o mocy do 50 kW  230V</t>
  </si>
  <si>
    <t>Instalacja cyrkulacji wody</t>
  </si>
  <si>
    <t>Jedn. Ścienna nr 2 i 3  Nominalna wydajność chłodnicza nie mniejsza niż: 2,5 kW  Nominalna wydajność grzewcza nie mniejsza niż: 2,8 kW
Zasilanie (liczba faz/napięcie/częstotliwość): 1~/230 V/50 Hz  Nominalny pobór mocy dla chłodzenia nie więcej niż 20 W  Nominalny pobór mocy dla grzania: nie więcej niż 20 W  Wymiary (wys x szer x głęb): nie  większe niż 300x790x230 mm  Waga: nie większa niż 10 kg  Ilość biegów wentylatora nie mniej niż 4  Przepływ powietrza na najwyższym biegu wentylatora: nie mniejszy niż 600 m3/h  Przepływ powietrza na najniższym biegu wentylatora: nie mniejszy niż 390 m3/h  Poziom ciśnienia akustycznego na najwyższym biegu: nie większe niż 39 dB(A)  Poziom ciśnienia akustycznego na najniższym biegu: nie większe niż 30 dB(A)  Deklaracja zgodności CE: TAK  Gwarancja wydajności produktów zapewniona przez  niezależne laboratorium:TAK + sterownik</t>
  </si>
  <si>
    <t>Okno dachowe OD2 - 90x90 + nawietrzak okienny HIGRO 5-29 m3/h</t>
  </si>
  <si>
    <t>Okno dachowe OD3 - 90x120 + nawietrzak okienny HIGRO 5-29 m3/h</t>
  </si>
  <si>
    <t>Okno dachowe OD4 - 80x80 + nawietrzak okienny HIGRO 5-29 m3/h</t>
  </si>
  <si>
    <t>3.1.10</t>
  </si>
  <si>
    <t>4.1.13</t>
  </si>
  <si>
    <t>4.1.14</t>
  </si>
  <si>
    <t>4.1.15</t>
  </si>
  <si>
    <t>4.1.16</t>
  </si>
  <si>
    <t>4.1.17</t>
  </si>
  <si>
    <t>6.1.1</t>
  </si>
  <si>
    <t>2.11</t>
  </si>
  <si>
    <t>2.12</t>
  </si>
  <si>
    <t>2.13</t>
  </si>
  <si>
    <t>2.14</t>
  </si>
  <si>
    <t>2.15</t>
  </si>
  <si>
    <t>2.16</t>
  </si>
  <si>
    <t>2.17</t>
  </si>
  <si>
    <t>2.18</t>
  </si>
  <si>
    <t>2.19</t>
  </si>
  <si>
    <t>PARTER-Okładziny z płyt z pianki rezolowej gr. 80 mm mocowane na ruszcie drewnianym + paroizolacja mocowana na klej + płyta GK 12,5 mm + szpachlowanie</t>
  </si>
  <si>
    <t>I PIĘTRO - Okładziny z płyt z pianki rezolowej gr. 80 mm mocowane na ruszcie drewnianym + paroizolacja mocowana na klej + płyta GK 12,5 mm + szpachlowanie</t>
  </si>
  <si>
    <t>II PIĘTRO - Okładziny z płyt z pianki rezolowej gr. 80 mm mocowane na ruszcie drewnianym + paroizolacja mocowana na klej + płyta GK 12,5 mm + szpachlowanie</t>
  </si>
  <si>
    <t>Osadzenie parapetów wewnętrznych drewnianych szer 40 cm</t>
  </si>
  <si>
    <t>5.7</t>
  </si>
  <si>
    <t>5.8</t>
  </si>
  <si>
    <t>5.9</t>
  </si>
  <si>
    <t>13.7</t>
  </si>
  <si>
    <t>13.8</t>
  </si>
  <si>
    <t>Naprawa pęknięć ścian - pręty śrubowe fi 8 mm wklejane - wg rys. K03</t>
  </si>
  <si>
    <t>NNRNKB 2-02 1125-01+02</t>
  </si>
  <si>
    <t>Podklad betonowy gr. 15 cm</t>
  </si>
  <si>
    <t>ŚCIANY SZCZYTOWE NADZIEMIA - IZOLACJA WEŁNĄ MIN. o wsp. ʎ ≤ 0,031W/mK</t>
  </si>
  <si>
    <t>ŚCIANA PÓŁNOCNA NADZIEMIA - IZOLACJA STYROPIANEM o wsp. ʎ ≤ 0,031W/mK</t>
  </si>
  <si>
    <t>kalk.własna</t>
  </si>
  <si>
    <t>Ścianki działowe z cegły pełnej lub silikatowej na zaprawie cienkowarstwowej</t>
  </si>
  <si>
    <t>Winda - dostawa, montaż, uruchomienie, odbiory UDT</t>
  </si>
  <si>
    <t>Podłogi</t>
  </si>
  <si>
    <t>Obudowa kanałów wentylacyjnych płytami gipsowo-kartonowymi na rusztach metalowych</t>
  </si>
  <si>
    <t>KNR-W-2-02 2004-07</t>
  </si>
  <si>
    <t>3.3.13</t>
  </si>
  <si>
    <t>4.3.12</t>
  </si>
  <si>
    <t>5.3.11</t>
  </si>
  <si>
    <t>Roboty rewitalizacyjne</t>
  </si>
  <si>
    <t>Zagospodarowanie terenu</t>
  </si>
  <si>
    <t>Rozbiórka obiektów na działce</t>
  </si>
  <si>
    <t>7.3.6</t>
  </si>
  <si>
    <t>Hydrant wewnętrzny DN 25 z szafką</t>
  </si>
  <si>
    <t>Filtr do wody użytkowej Dn 25</t>
  </si>
  <si>
    <t>Uruchomienie kotłowni c.o. o 2 osobach obsługi z dostawą instrukcji obsługi i szkoleniem obsługi</t>
  </si>
  <si>
    <t>1.1.2</t>
  </si>
  <si>
    <t>1.1.3</t>
  </si>
  <si>
    <t>1.1.4</t>
  </si>
  <si>
    <t>1.1.5</t>
  </si>
  <si>
    <t>1.1.6</t>
  </si>
  <si>
    <t>1.1.7</t>
  </si>
  <si>
    <t>1.1.8</t>
  </si>
  <si>
    <t>1.1.9</t>
  </si>
  <si>
    <t>1.1.10</t>
  </si>
  <si>
    <t>1.1.11</t>
  </si>
  <si>
    <t>1.1.12</t>
  </si>
  <si>
    <t>1.1.13</t>
  </si>
  <si>
    <t>1.1.14</t>
  </si>
  <si>
    <t>1.1.15</t>
  </si>
  <si>
    <t>kalk. Własna</t>
  </si>
  <si>
    <t>Gazomierz G4 R130 -2,5 m3/h</t>
  </si>
  <si>
    <t>Dostawa i montaż kuchenek gazowych z piekarnikiem elektrycznym  z elestycznym wężem do gazu i szybkozłączem samoczynnie odcinającym dopływ gazu z instalacji</t>
  </si>
  <si>
    <t>Demontaże rurociągów stalowycho śr. 15-50 mm na ścianie</t>
  </si>
  <si>
    <t>Demontaż baterii ściennych</t>
  </si>
  <si>
    <t>Demontaż rurociągów z PCW o śr. 50-160 mm</t>
  </si>
  <si>
    <t>KNNR 8 0222-07,08, 09</t>
  </si>
  <si>
    <t>KNNR 8 0122-03,04</t>
  </si>
  <si>
    <t>Koszt utylizacji</t>
  </si>
  <si>
    <t>KNNR 4 0230-03</t>
  </si>
  <si>
    <t>Umywalka pojedyncza dla niepełnosprawnych</t>
  </si>
  <si>
    <t>Basen płytki pod natrysk z kabiną dla niepełnosprawnych</t>
  </si>
  <si>
    <t>KNNR 4 0232-03</t>
  </si>
  <si>
    <t xml:space="preserve">Basen płytki pod natrysk z kabiną </t>
  </si>
  <si>
    <t>Urządzenia sanitarne na elemencie montażowym - miska ustępowa dla niepełnosprawnych</t>
  </si>
  <si>
    <t>KNR 2-15/GEBERIT 0104-02</t>
  </si>
  <si>
    <t xml:space="preserve">Urządzenia sanitarne na elemencie montażowym - miska ustępowa </t>
  </si>
  <si>
    <t>Podłączanie silników w obudowie specjalnej - przewód lub kabel 3-żyłowy Cu o przekroju żyły do 6 mm2 - wentylatory ścienne</t>
  </si>
  <si>
    <t>Instalcja CO</t>
  </si>
  <si>
    <t>4.1.18</t>
  </si>
  <si>
    <t>4.1.19</t>
  </si>
  <si>
    <t>4.1.20</t>
  </si>
  <si>
    <t>4.1.21</t>
  </si>
  <si>
    <t>4.1.22</t>
  </si>
  <si>
    <t>4.1.23</t>
  </si>
  <si>
    <t>4.1.24</t>
  </si>
  <si>
    <t>4.1.25</t>
  </si>
  <si>
    <t>4.1.26</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</si>
  <si>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</si>
  <si>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</si>
  <si>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</si>
  <si>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</si>
  <si>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</si>
  <si>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</si>
  <si>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</si>
  <si>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</si>
  <si>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</si>
  <si>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</si>
  <si>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</si>
  <si>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</si>
  <si>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</si>
  <si>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</si>
  <si>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</si>
  <si>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</si>
  <si>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</si>
  <si>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</si>
  <si>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</si>
  <si>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</si>
  <si>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</si>
  <si>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</si>
  <si>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</si>
  <si>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</si>
  <si>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</si>
  <si>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</si>
  <si>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</si>
  <si>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</si>
  <si>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</si>
  <si>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</si>
  <si>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</si>
  <si>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</si>
  <si>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</si>
  <si>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</si>
  <si>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</si>
  <si>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</si>
  <si>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</si>
  <si>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</si>
  <si>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</si>
  <si>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</si>
  <si>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</si>
  <si>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</si>
  <si>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</si>
  <si>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</si>
  <si>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</si>
  <si>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</si>
  <si>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</si>
  <si>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</si>
  <si>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</si>
  <si>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</si>
  <si>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</si>
  <si>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</si>
  <si>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</si>
  <si>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</si>
  <si>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</si>
  <si>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</si>
  <si>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</si>
  <si>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</si>
  <si>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</si>
  <si>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</si>
  <si>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</si>
  <si>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</si>
  <si>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</si>
  <si>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</si>
  <si>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</si>
  <si>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</si>
  <si>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7.1.6</t>
  </si>
  <si>
    <t>7.1.7</t>
  </si>
  <si>
    <t>7.1.8</t>
  </si>
  <si>
    <t>7.1.9</t>
  </si>
  <si>
    <t>7.1.10</t>
  </si>
  <si>
    <t>7.3.1</t>
  </si>
  <si>
    <t>7.3.2</t>
  </si>
  <si>
    <t>7.3.3</t>
  </si>
  <si>
    <t>7.3.4</t>
  </si>
  <si>
    <t>7.3.5</t>
  </si>
  <si>
    <t>7.3.7</t>
  </si>
  <si>
    <t>7.3.8</t>
  </si>
  <si>
    <t>7.3.9</t>
  </si>
  <si>
    <t>7.3.10</t>
  </si>
  <si>
    <t>7.3.11</t>
  </si>
  <si>
    <t>7.3.12</t>
  </si>
  <si>
    <t>7.3.13</t>
  </si>
  <si>
    <t>7.3.14</t>
  </si>
  <si>
    <t>7.3.15</t>
  </si>
  <si>
    <t>7.4.1</t>
  </si>
  <si>
    <t>7.4.2</t>
  </si>
  <si>
    <t>7.4.3</t>
  </si>
  <si>
    <t>7.4.4</t>
  </si>
  <si>
    <t>7.4.5</t>
  </si>
  <si>
    <t>7.4.6</t>
  </si>
  <si>
    <t>7.4.7</t>
  </si>
  <si>
    <t>7.4.8</t>
  </si>
  <si>
    <t>7.4.9</t>
  </si>
  <si>
    <t>7.4.10</t>
  </si>
  <si>
    <t>7.4.11</t>
  </si>
  <si>
    <t>14.6</t>
  </si>
  <si>
    <t>14.7</t>
  </si>
  <si>
    <t>14.8</t>
  </si>
  <si>
    <t>14.9</t>
  </si>
  <si>
    <t>14.10</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</si>
  <si>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</si>
  <si>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</si>
  <si>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</si>
  <si>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</si>
  <si>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</si>
  <si>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</si>
  <si>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</si>
  <si>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</si>
  <si>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</si>
  <si>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</si>
  <si>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</si>
  <si>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</si>
  <si>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</si>
  <si>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</si>
  <si>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</si>
  <si>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</si>
  <si>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</si>
  <si>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</si>
  <si>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</si>
  <si>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</si>
  <si>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</si>
  <si>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</si>
  <si>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</si>
  <si>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</si>
  <si>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</si>
  <si>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</si>
  <si>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</si>
  <si>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</si>
  <si>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</si>
  <si>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</si>
  <si>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</si>
  <si>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</si>
  <si>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</si>
  <si>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</si>
  <si>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</si>
  <si>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</si>
  <si>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</si>
  <si>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</si>
  <si>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</si>
  <si>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</si>
  <si>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</si>
  <si>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</si>
  <si>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</si>
  <si>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</si>
  <si>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</si>
  <si>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</si>
  <si>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 xml:space="preserve">Instalcja CO </t>
  </si>
  <si>
    <t>2.2.7</t>
  </si>
  <si>
    <t>2.2.8</t>
  </si>
  <si>
    <t>2.2.9</t>
  </si>
  <si>
    <t>2.2.10</t>
  </si>
  <si>
    <t>2.2.11</t>
  </si>
  <si>
    <t>2.2.12</t>
  </si>
  <si>
    <t>2.2.13</t>
  </si>
  <si>
    <t>2.2.14</t>
  </si>
  <si>
    <t>2.2.15</t>
  </si>
  <si>
    <t>2.2.16</t>
  </si>
  <si>
    <t>2.2.17</t>
  </si>
  <si>
    <t>Wyrównanie powierzchni ścian pod izolację termiczną</t>
  </si>
  <si>
    <r>
      <t xml:space="preserve">STOLARKA OKIENNA I DRZWIOWA o wsp. przenikania ciepła </t>
    </r>
    <r>
      <rPr>
        <b/>
        <sz val="10"/>
        <color theme="1"/>
        <rFont val="Calibri"/>
        <family val="2"/>
        <charset val="238"/>
      </rPr>
      <t xml:space="preserve">≤ 0,9 W/m2K; </t>
    </r>
  </si>
  <si>
    <t xml:space="preserve">Stolarka okienna o wsp. przenikania ciepła ≤ 0,9 W/m2K; </t>
  </si>
  <si>
    <t>Stolarka drzwiowa o wsp. przenikania ciepła max 1,3 W/m2K</t>
  </si>
  <si>
    <t>Izolacja posadzki na gruncie</t>
  </si>
  <si>
    <t>KNNR 4 0137-03</t>
  </si>
  <si>
    <t>Baterie umywalkowe stojące o śr. nominalnej 15 mm - dla niepełnosprawnych</t>
  </si>
  <si>
    <t>Baterie zlewozmywakowa stojąca z ruchomą wylewką - zlew gospodarczy - o śr. nominalnej 15 mm</t>
  </si>
  <si>
    <t>Zlew prostokątny - gospodarczy</t>
  </si>
  <si>
    <t>Montaż baterii zlewozmywakowej - ankes kuchenny parter (bateria - dostawa Inwestora)</t>
  </si>
  <si>
    <t>KNNR 4 0229-05</t>
  </si>
  <si>
    <t>Montaż zlewozmywaka dwukomorowego w aneksie kuchennym na parterze (zlewozmywak  - dostawa Inwestora)</t>
  </si>
  <si>
    <t>Wykonanie podejścia oraz montaż umywalki w aneksie kuchennym na parterze (umywalka - dostawa Inwestora) - dodatkowa umywalka/brak w PT</t>
  </si>
  <si>
    <t>Izolacja przeciwwodna posadzki parteru nad stropem - 2 x papa asfaltowa zgrzewana na warstwie gruntującej</t>
  </si>
  <si>
    <t>Podłoga w piwnicy - na gruncie</t>
  </si>
  <si>
    <t>Izolacja pozioma i pionowa ścian w piwnicy</t>
  </si>
  <si>
    <t>2.1.11</t>
  </si>
  <si>
    <t>2.1.12</t>
  </si>
  <si>
    <t>Roboty rozbiórkowe i ziemne</t>
  </si>
  <si>
    <t>KSNR 1-0301 - 02</t>
  </si>
  <si>
    <t>Wykopy ręczne - pod fundamenty i szachy windy</t>
  </si>
  <si>
    <t>Rodzaj robót</t>
  </si>
  <si>
    <t>Roboty sanitarne</t>
  </si>
  <si>
    <t xml:space="preserve">Roboty elektryczne </t>
  </si>
  <si>
    <t>Razem koszty termomodernizacji netto</t>
  </si>
  <si>
    <t>Podatek VAT</t>
  </si>
  <si>
    <t>Razem koszty termomodernizacji brutto</t>
  </si>
  <si>
    <t>2.2.18</t>
  </si>
  <si>
    <t>2.2.19</t>
  </si>
  <si>
    <t>2.2.20</t>
  </si>
  <si>
    <t>2.2.21</t>
  </si>
  <si>
    <t>2.2.22</t>
  </si>
  <si>
    <t>2.2.23</t>
  </si>
  <si>
    <t>2.3.6</t>
  </si>
  <si>
    <t>Roboty elektryczne i teletechniczne</t>
  </si>
  <si>
    <t>podatek VAT</t>
  </si>
  <si>
    <t>Razem roboty przebudowy brutto</t>
  </si>
  <si>
    <t>Razem roboty przebudowy netto</t>
  </si>
  <si>
    <t>ZAGOSPODAROWANIE DZIAŁKI nr 626</t>
  </si>
  <si>
    <t>Roboty rozbiórkowe na działce o nr ew. 626</t>
  </si>
  <si>
    <t>Razem roboty zewnętrzne netto</t>
  </si>
  <si>
    <t>Razem roboty zewnętrzne brutto</t>
  </si>
  <si>
    <t>Razem całe zadanie:</t>
  </si>
  <si>
    <t>Montaż włazu żeliwnego klasy D400 z przebudową pokrywy istniejącej studni po szambie</t>
  </si>
  <si>
    <t xml:space="preserve">Układanie kabla światłowodowego wraz z wykonaniem złączy i niezbednych pomiarów </t>
  </si>
  <si>
    <t>Montaż wyposażenia szafy, kabel krosowy w urządzeniu aktywnym</t>
  </si>
  <si>
    <t>Montaż modułów SFP</t>
  </si>
  <si>
    <t>Montaż wyposażenia szafy, centrala telefoniczna rack z możliwością zabudowy w szafie 19" 2U</t>
  </si>
  <si>
    <t>Konfiguracja i uruchomienie centrali telefonicznej</t>
  </si>
  <si>
    <t>Dostawa  - Switch światłowodowy 8xSFP 2XRJ45</t>
  </si>
  <si>
    <t>Dostawa - Switch 48xRJ45 2xSFP</t>
  </si>
  <si>
    <t xml:space="preserve">Montaż wyposażenia szafy dystrybucyjnej: montaż zasilacza awaryjnego, </t>
  </si>
  <si>
    <t>Montaż aparatu telefonicznego przenośnego dla potrzeb uruchomienia centrali</t>
  </si>
  <si>
    <t>Ciepłomierz z interfejsem MBUS-', Qnom: 0,6 m3/h</t>
  </si>
  <si>
    <t>3.1.11</t>
  </si>
  <si>
    <t>Ciepłomierz z interfejsem MBUS</t>
  </si>
  <si>
    <t>Wodomierz skrzydełkowy wody zimnej 2" z (z wyjściem impulsowym)</t>
  </si>
  <si>
    <t>Wodomierz skrzydełkowy wody zimnej 1 1/2"z (z wyjściem impulsowym)</t>
  </si>
  <si>
    <t>Wodomierz skrzydełkowy wody zimnej 1"z (z wyjściem impulsowym)</t>
  </si>
  <si>
    <t>Wodomierz skrzydełkowy wody zimnej 3/4"z (z wyjściem impulsowym)</t>
  </si>
  <si>
    <t>Wodomierz skrzydełkowy wody ciepłej 3/4"z (z wyjściem impulsowym)</t>
  </si>
  <si>
    <t>Wodomierz skrzydełkowy cyrkulacji cwu 3/4"z (z wyjściem impulsowym)</t>
  </si>
  <si>
    <t>Sterownik kotła obsługujący schemat z możliwością sterowania zdalnego (podpięcia do systemu monitoringu)</t>
  </si>
  <si>
    <t>Montaż sterownika centrali wentylacyjnej pozwalającego na zdalne sterowanie - dla podpięcia do systemu monitoringu obiektu</t>
  </si>
  <si>
    <t>4.1.27</t>
  </si>
  <si>
    <t>Drzwi wewnętrzne - D4 z ościeżnicą EIS 30 (dymoszczelne); szt. 16</t>
  </si>
  <si>
    <t>Drzwi wewnętrzne - D4.1 z ościeżnicą EI 30; szt.1</t>
  </si>
  <si>
    <t>Drzwi wewnętrzne - D5 z ościeżnicą; szt. 18</t>
  </si>
  <si>
    <t>Drzwi wewnętrzne - D6 z ościeżnicą; szt 2</t>
  </si>
  <si>
    <t>Drzwi wewnętrzne - D6.1 z ościeżnicą; szt. 1</t>
  </si>
  <si>
    <t>Drzwi wewnętrzne stalowe - D8 z ościeżnicą; szt. 2</t>
  </si>
  <si>
    <r>
      <rPr>
        <b/>
        <sz val="10"/>
        <color theme="1"/>
        <rFont val="Calibri"/>
        <family val="2"/>
        <charset val="238"/>
        <scheme val="minor"/>
      </rPr>
      <t>Dostawa</t>
    </r>
    <r>
      <rPr>
        <sz val="10"/>
        <color theme="1"/>
        <rFont val="Calibri"/>
        <family val="2"/>
        <charset val="238"/>
        <scheme val="minor"/>
      </rPr>
      <t xml:space="preserve"> i podłączenie kuchenki elektrycznej indukcyjnej dwupalnikowej do aneksu kuchennego na I piętrze (bez piekarnika)</t>
    </r>
  </si>
  <si>
    <t>Podłączenie kuchenki elektrycznej z piekarnikiem (kuchenka - dostawa inwestora) wraz z wykonaniem instalacji podłaczeniowej - 380V; parter - klub seniora</t>
  </si>
  <si>
    <t>Instalacja oddymiania - rys. E-21</t>
  </si>
  <si>
    <t>Klapa oddymiająca OD1 - 140x180 do podłaczenia w układ instalacji oddymiania klatki schodowej</t>
  </si>
  <si>
    <t>Dostawa i montaż paneli fotowoltaicznych PV 280Wp</t>
  </si>
  <si>
    <t>Podłączanie silników w obudowie specjalnej - przewód lub kabel 3-żyłowy Cu o przekroju żyły do 6 mm2 -  kuchnie gazowo-elektryczne, pompy, klimatyzatory itp.</t>
  </si>
  <si>
    <t>Wiata śmietnikowa - dostawa i montaż</t>
  </si>
  <si>
    <t>Stojak na rowery - dostawa i montaż</t>
  </si>
  <si>
    <t>Kosz na śmieci - dostawa i montaż</t>
  </si>
  <si>
    <t>Ławka ogrodowa - dostawa i montaż</t>
  </si>
  <si>
    <t>Dostawa i montaż ogrodzenia panelowego systemowego</t>
  </si>
  <si>
    <t xml:space="preserve">Zadaszenie szklane o wymiarach wymiary 240 cm x 100 cm </t>
  </si>
  <si>
    <t>Kompletny Czopuch typ Turbo 60/110  2 mb wraz z włączeniem do komina</t>
  </si>
  <si>
    <t>Komin fi 180 - ceramiczny typu turbo - system kominowy przeznaczony do odprowadzania spalin z pieców z zamkniętą komorą spalania.</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</si>
  <si>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</si>
  <si>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</si>
  <si>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</si>
  <si>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</si>
  <si>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</si>
  <si>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</si>
  <si>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</si>
  <si>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</si>
  <si>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</si>
  <si>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</si>
  <si>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</si>
  <si>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</si>
  <si>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</si>
  <si>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</si>
  <si>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Uwagi:</t>
  </si>
  <si>
    <t xml:space="preserve">Ceny jednostkowe lub kwoty ryczałtowe Robót muszą obejmować: </t>
  </si>
  <si>
    <r>
      <t xml:space="preserve">Do cen jednostkowych </t>
    </r>
    <r>
      <rPr>
        <u/>
        <sz val="11"/>
        <color theme="1"/>
        <rFont val="Calibri"/>
        <family val="2"/>
        <charset val="238"/>
      </rPr>
      <t>nie należy wliczać podatku VAT</t>
    </r>
    <r>
      <rPr>
        <sz val="11"/>
        <color theme="1"/>
        <rFont val="Calibri"/>
        <family val="2"/>
        <charset val="238"/>
      </rPr>
      <t>.</t>
    </r>
  </si>
  <si>
    <t xml:space="preserve"> Zamawiający nie odpowiada za prawidłowość formuł w pliku; Wykonawca jest zobowiązany do ich sprawdzenia.</t>
  </si>
  <si>
    <t>Nr sprawy: BZPiFZ.271.4.2019</t>
  </si>
  <si>
    <t>ZBIORCZE ZESTAWIENIE KOSZTÓW</t>
  </si>
  <si>
    <t>Do ZZK dołączam:</t>
  </si>
  <si>
    <t xml:space="preserve">Zbiorcze Zestawienie Kosztów (ZZK) sporządzić dla wszystkich branż i wszystkich robót objętych dokumentacją projektową, wyceniając wszystkie  pozycje zawarte w arkuszach: pn.: "Przebudowa", "Termomodernizacja" i "Zagospodarowanie".  
Podstawą płatności będzie cena jednostkowa (z narzutami) skalkulowana przez Wykonawcę za jednostkę obmiarową robót ustaloną dla danej pozycji Zbiorczego Zestawienia Kosztów. 
Dla pozycji kosztorysowych wycenionych ryczałtowo podstawą płatności będzie wartość (kwota) podana przez Wykonawcę w danej pozycji ZZK. 
Cena jednostkowa lub kwota ryczałtowa pozycji kosztorysowej winna uwzględniać wszystkie czynności, wymagania i badania składające się na jej wykonanie, określone dla tej roboty w Specyfikacjach Technicznych Wykonania i Odbioru Robót i w Dokumentacji Projektowej. </t>
  </si>
  <si>
    <t>BUDYNEK NR 1</t>
  </si>
  <si>
    <r>
      <t>-  </t>
    </r>
    <r>
      <rPr>
        <sz val="11"/>
        <color rgb="FF000000"/>
        <rFont val="Calibri"/>
        <family val="2"/>
        <charset val="238"/>
      </rPr>
      <t xml:space="preserve">robociznę bezpośrednią wraz z kosztami towarzyszącymi, </t>
    </r>
  </si>
  <si>
    <r>
      <t xml:space="preserve">-  </t>
    </r>
    <r>
      <rPr>
        <sz val="11"/>
        <color rgb="FF000000"/>
        <rFont val="Calibri"/>
        <family val="2"/>
        <charset val="238"/>
      </rPr>
      <t xml:space="preserve">wartość użytych materiałów wraz z kosztami zakupu, magazynowania, ewentualnych ubytków i transportu na teren budowy, </t>
    </r>
  </si>
  <si>
    <r>
      <t xml:space="preserve">-  </t>
    </r>
    <r>
      <rPr>
        <sz val="11"/>
        <color rgb="FF000000"/>
        <rFont val="Calibri"/>
        <family val="2"/>
        <charset val="238"/>
      </rPr>
      <t xml:space="preserve">wartość pracy sprzętu wraz z kosztami towarzyszącymi, </t>
    </r>
  </si>
  <si>
    <r>
      <t>-  </t>
    </r>
    <r>
      <rPr>
        <sz val="11"/>
        <color rgb="FF000000"/>
        <rFont val="Calibri"/>
        <family val="2"/>
        <charset val="238"/>
      </rPr>
      <t xml:space="preserve">koszty pośrednie, zysk kalkulacyjny i ryzyko, </t>
    </r>
  </si>
  <si>
    <r>
      <t xml:space="preserve">-  </t>
    </r>
    <r>
      <rPr>
        <sz val="11"/>
        <color rgb="FF000000"/>
        <rFont val="Calibri"/>
        <family val="2"/>
        <charset val="238"/>
      </rPr>
      <t xml:space="preserve">podatki obliczone zgodnie z obowiązującymi przepisami. </t>
    </r>
  </si>
  <si>
    <t>Balustrada schodowa: szkło bezpieczne + stal nierdzewna</t>
  </si>
  <si>
    <t>Wycieraczka o wym 50x140 cm w obudowie z profili aluminiowych z wypełnieniem tekstylno-gumowym, wg pkt. 12.2 PB</t>
  </si>
  <si>
    <t>KNR-2-02 2011-02</t>
  </si>
  <si>
    <t>analogia: sufity podwieszane z płyt g-k</t>
  </si>
  <si>
    <t>4.4.8</t>
  </si>
  <si>
    <t>3.4.9</t>
  </si>
  <si>
    <t>PW rys. K-01 zestawienie stali NR01</t>
  </si>
  <si>
    <t>PW_rys. K-10 (KNR 2-02 0218-02, KNR 2-02 0281-06x7, KNR 2-02 028-07)</t>
  </si>
  <si>
    <t>PW_rys. K-9 (KNR 2-02 0218-02, KNR 2-02 0281-06x7, KNR 2-02 028-07)</t>
  </si>
  <si>
    <t>PW_rys. K-11 (KNR 2-02 0218-02, KNR 2-02 0281-06x7, KNR 2-02 028-07)</t>
  </si>
  <si>
    <t xml:space="preserve">Ławy fundamentowe prostokątne żelbetowe, szerokości do 1,3 m - wzmocnienia fundamentów wg rys. PW_K04 </t>
  </si>
  <si>
    <t>mb</t>
  </si>
  <si>
    <t xml:space="preserve">PW_rys. K01 </t>
  </si>
  <si>
    <t>Dostawa dwuteowników gorącowalcowanych IPE 160 - wzmocnienie nadproży</t>
  </si>
  <si>
    <t>Wykonanie wzmocnienia nadproży nadokiennych wg technologii opisanej w PW: skucie tynków, wykonanie bruzd + osadzenie kształtowników IPE160, osiatkowanie kształtowników i obetonowanie</t>
  </si>
  <si>
    <t>Osiatkowanie tynku wewnętrznego na ścianach i stropach - wzmocnienia nadproży</t>
  </si>
  <si>
    <t>1.58</t>
  </si>
  <si>
    <t>1.59</t>
  </si>
  <si>
    <t>1.60</t>
  </si>
  <si>
    <t>1.61</t>
  </si>
  <si>
    <t>1.62</t>
  </si>
  <si>
    <t>1.63</t>
  </si>
  <si>
    <t>1.64</t>
  </si>
  <si>
    <t>1.65</t>
  </si>
  <si>
    <t>1.69</t>
  </si>
  <si>
    <t>1.70</t>
  </si>
  <si>
    <t>1.71</t>
  </si>
  <si>
    <t>1.72</t>
  </si>
  <si>
    <t>1.73</t>
  </si>
  <si>
    <r>
      <t xml:space="preserve">Izolacja połaci dachu - wełna o wsp. </t>
    </r>
    <r>
      <rPr>
        <sz val="10"/>
        <color theme="1"/>
        <rFont val="Calibri"/>
        <family val="2"/>
        <charset val="238"/>
      </rPr>
      <t>ʎ= 0,036 W/mK i gr.</t>
    </r>
    <r>
      <rPr>
        <sz val="10"/>
        <color theme="1"/>
        <rFont val="Calibri"/>
        <family val="2"/>
        <charset val="238"/>
        <scheme val="minor"/>
      </rPr>
      <t xml:space="preserve"> 21 cm</t>
    </r>
  </si>
  <si>
    <t>2.1.10</t>
  </si>
  <si>
    <t>Prace przygotowawcze i pomocnicze</t>
  </si>
  <si>
    <t>Wyniesienie z piwnicy oraz z kondygnacji naziemnych budynku elementów wyposażenia (stare meble, deski, śmieci)</t>
  </si>
  <si>
    <t>Demontaż starego okablowania (ok. 2000 m), likwidacja pozostałości po licznikach, zabezpieczeniach na klatce schodowej.</t>
  </si>
  <si>
    <t>2.20</t>
  </si>
  <si>
    <t>2.21</t>
  </si>
  <si>
    <t>2.22</t>
  </si>
  <si>
    <t>2.23</t>
  </si>
  <si>
    <t>2.24</t>
  </si>
  <si>
    <t>5.10</t>
  </si>
  <si>
    <t>5.11</t>
  </si>
  <si>
    <t>5.12</t>
  </si>
  <si>
    <t>5.13</t>
  </si>
  <si>
    <t>7.5.1</t>
  </si>
  <si>
    <t>7.5.2</t>
  </si>
  <si>
    <t>7.5.3</t>
  </si>
  <si>
    <t>7.5.4</t>
  </si>
  <si>
    <t>7.5.5</t>
  </si>
  <si>
    <t>7.5.6</t>
  </si>
  <si>
    <t>7.5.7</t>
  </si>
  <si>
    <t>7.5.8</t>
  </si>
  <si>
    <t>7.5.9</t>
  </si>
  <si>
    <t>7.5.10</t>
  </si>
  <si>
    <t>8.12</t>
  </si>
  <si>
    <t>10.14</t>
  </si>
  <si>
    <t>10.15</t>
  </si>
  <si>
    <t>10.16</t>
  </si>
  <si>
    <t>10.17</t>
  </si>
  <si>
    <t>10.18</t>
  </si>
  <si>
    <t>10.19</t>
  </si>
  <si>
    <t>10.20</t>
  </si>
  <si>
    <t>11.9</t>
  </si>
  <si>
    <t>11.10</t>
  </si>
  <si>
    <t>11.11</t>
  </si>
  <si>
    <t>11.12</t>
  </si>
  <si>
    <t>11.13</t>
  </si>
  <si>
    <t>15.1</t>
  </si>
  <si>
    <t>15.2</t>
  </si>
  <si>
    <t>15.3</t>
  </si>
  <si>
    <t>15.4</t>
  </si>
  <si>
    <t>15.5</t>
  </si>
  <si>
    <t>15.6</t>
  </si>
  <si>
    <t>15.7</t>
  </si>
  <si>
    <t>15.8</t>
  </si>
  <si>
    <t>15.9</t>
  </si>
  <si>
    <t>15.10</t>
  </si>
  <si>
    <t>15.11</t>
  </si>
  <si>
    <t>15.12</t>
  </si>
  <si>
    <t>15.13</t>
  </si>
  <si>
    <t>15.14</t>
  </si>
  <si>
    <t>15.15</t>
  </si>
  <si>
    <t>Opłata za zajęcie pasa drogowego drogi wojewódzkiej w zakresie chodnika - dla robót budowlanych oraz w zakresie jezdni - dla budowy nowego przyłącza wody</t>
  </si>
  <si>
    <t>Opracowanie projektu tymczasowej organizacji ruchu, uzgodnienie z właściwymi organami w zakresie robót budowlanych (wzmocnienie fundamentów, izolacja ścian piwnic itp.) oraz budowy nowego przyłącza wody</t>
  </si>
  <si>
    <t>Wprowadzenie tymczasowej organizacji ruchu, utrzymanie i likwidacja oznakowania i zabezpieczeń, przywrócenie stałej oragnizacji ruchu (oznakowanie: słupki + znaki drogowe - 10 kpl.; barierki ochronne - 10 m, tymczasowe oświetlenie)</t>
  </si>
  <si>
    <t>Rusztowania zewnętrzne rurowe o wysokości do 15 m wraz z montażem siatek ochronnych</t>
  </si>
  <si>
    <t>KNR 2-02 1604-02 analogia</t>
  </si>
  <si>
    <t>Wykonanie nowego podłoża betonowego na gruncie</t>
  </si>
  <si>
    <t>Rozbiórka istniejącej posadzki w piwnicy (ceglano-betonowa) wraz z oczyszczeniem i wyrównaniem gruntu pod nowe podłoże betonowe</t>
  </si>
  <si>
    <t>Uszczelnienie posadzki piwnicy - warstwa gruntująca + izolacja powierzchni poziomej szlamami uszczelniającymi wg wybranej technologii uszczelnień zgodnie z wymogami PT - pkt. 10.1.2 opisu technicznego</t>
  </si>
  <si>
    <t>Gruntowanie ręczne  wg przyjętej technologii producenta systemu uszczelnienia (np.. Remmers, Schomburg lub tp.) - izolacja od zewnątrz</t>
  </si>
  <si>
    <t>Okładziny podłogowe z płytek z kamieni sztucznych o regularnych kształtach na zaprawie klejowej cienkowarstwowej; płytki o wymiarach 40x40 cm mrozoodporne wraz z przygotowaniem podłoża</t>
  </si>
  <si>
    <t>Cokoliki przyścienne z kształtek cokołowych o wysokości 10 cm na zaprawie cienkowarstwowej; kształtki o długości 28-40 cm wraz z przygotowaniem podłoża</t>
  </si>
  <si>
    <t>Okładziny podłogowe z płytek z kamieni sztucznych o regularnych kształtach na zaprawie klejowej cienkowarstwowej; płytki o wymiarach 60 x 60 cm wraz z przygotowaniem podłoża pod kleje cementowe</t>
  </si>
  <si>
    <t>Cokoliki przyścienne z kształtek cokołowych o wysokości 10 cm na zaprawie cienkowarstwowej; kształtki o długości 28-60 cm wraz z przygotowaniem podłoża</t>
  </si>
  <si>
    <t>Posadzki z wykładzin z tworzyw sztucznych bez warstwy izolacyjnej rulonowe - wykładzina PCV wraz z gruntowaniem podłoża i zgrzaniem wykładziny oraz zabezpieczeniem powierzchni warstwą polimerową</t>
  </si>
  <si>
    <t>Posadzki z  wykładziny dywanowej wraz z gruntowaniem podłoża</t>
  </si>
  <si>
    <t>Posadzki z wykładzin z tworzyw sztucznych bez warstwy izolacyjnej rulonowe - wykładzina PCV wraz z gruntowaniem podłoża oraz zgrzewaniem wykładzin i zabezpieczeniem warstwą polimerową</t>
  </si>
  <si>
    <t>Posadzki z wykładzin dywanowych wraz z gruntowaniem podłoża</t>
  </si>
  <si>
    <t>KNR 2-02 1113-08</t>
  </si>
  <si>
    <t>Listwy przyścienne drewniane</t>
  </si>
  <si>
    <t xml:space="preserve">KNR 2-02 1113-08 </t>
  </si>
  <si>
    <t>Posadzki z paneli podłogowych drewnianych HDF w kolorze dąb klasy AC4 wraz z podkładem</t>
  </si>
  <si>
    <t>Cokoliki przyścienne z listew drewnianych dębowych</t>
  </si>
  <si>
    <t>Listwy przyścienne drewniane dębowe</t>
  </si>
  <si>
    <t>Schody żelbetowe do piwnicy - schody na gruncie</t>
  </si>
  <si>
    <t xml:space="preserve">Pozioma izolacja podpłytkowa przeciwwilgociowa gr. 3 mm z polimerowej masy uszczelniającej (folii w płynie) wykonywana ręcznie </t>
  </si>
  <si>
    <t>Otynkowanie ścianki oporowej oraz podstopnic wraz z przygotowaniem podłoża</t>
  </si>
  <si>
    <t>Ułożenie płytek 30x30 cm, antypoślizgowych mrozoodpornych na stopnicach schodów  wraz z przygotowaniem podłoża - zejście do piwnicy</t>
  </si>
  <si>
    <t>Remont stopni schodów zewnętrznych - wejście główne do budynku od str. południowej (naprawa konstrukcji betonowej - uzupełnienie ubytków)</t>
  </si>
  <si>
    <t>Schody od str. pn.: okładziny schodów i podestu z płytek mrozoodpornych, antypoślizgowych na zaprawie klejowej cienkowarstwowej; płytki o wymiarach 30x30 cm wraz z przygotowaniem podłoża</t>
  </si>
  <si>
    <t>Dostawa i montaż zewnęrtrznych wycieraczek systemowych (kraty ocynkowane) o wymiarach 100 x 50 cm</t>
  </si>
  <si>
    <t>Skucie tynków zewnętrznych cokołu</t>
  </si>
  <si>
    <t>Izolacja pionowa przeciwwodna  ze szlamów uszczelniających nakładanych ręcznie - izolacja od zewnątrz</t>
  </si>
  <si>
    <t>Wykopy przy odkrywaniu odcinkami istniejących fundamentów wraz z jednostronnym pelnym umocnieniem ścian wykopów</t>
  </si>
  <si>
    <t>IZOLACJA ŚCIAN FUNDAMENTOWYCH I COKOŁU</t>
  </si>
  <si>
    <t>Przygotowanie podłoża - oczyszczenie mechaniczne i zmycie powierzchni + gruntowanie ręczne  wg przyjętej technologii producenta systemu uszczelnienia (np.. Remmers, Schomburg lub tp.) - izolacja od zewnątrz</t>
  </si>
  <si>
    <t>Izolacja pionowa przeciwwodna  ze szlamów uszczelniających nakładanych ręcznie - izolacja od zewnątrz, wg technologii producenta</t>
  </si>
  <si>
    <t>Nawierzchnie z kostki brukowej betonowej grubość 8 cm na podsypce cementowo-piaskowej - 50 % materiału z demontażu</t>
  </si>
  <si>
    <t>Wykonanie opaski z kostki brukowej betonowej wokół budynku o szer. 50 cm</t>
  </si>
  <si>
    <t>Strop gęstożebrowy - nad parterem z wykuciem gniazd i osadzeniem belek stropu w gniazdach</t>
  </si>
  <si>
    <t>Strop gęstożebrowy - nad I piętrem z wykuciem gniazd i osadzeniem belek stropu w gniazdach</t>
  </si>
  <si>
    <t>Pokrycie dachów dachówką ceramiczną karpiówką w koronkę</t>
  </si>
  <si>
    <t>Ścianki działowe z płyt gipsowo-kartonowych o odporności ogniowej REI 60</t>
  </si>
  <si>
    <t>Ścianki działowe z płyt gipsowo-kartonowych na pojedynczej konstrukcji nośnej, z pokryciem obustronnym dwuwarstwowym; płyty zwykłe</t>
  </si>
  <si>
    <t>Ścianki działowe z płyt gipsowo-kartonowych na pojedynczej konstrukcji nośnej, z pokryciem obustronnym dwuwarstwowym; jednostronnie płyta impregnowana GKB-I</t>
  </si>
  <si>
    <t>Ścianki działowe z płyt gipsowo-kartonowych na pojedynczej konstrukcji nośnej, z pokryciem obustronnym dwuwarstwowym; dwustronnie płyta impregnowana GKB-I</t>
  </si>
  <si>
    <t>3.3.14</t>
  </si>
  <si>
    <t>3.3.15</t>
  </si>
  <si>
    <t>3.3.16</t>
  </si>
  <si>
    <t>Ścianki działowe z płyt gipsowo-kartonowych na pojedynczej konstrukcji nośnej, z pokryciem obustronnym dwuwarstwowym, jednostronnie płyta impregnowana GKB-I</t>
  </si>
  <si>
    <t>Ścianki działowe z płyt gipsowo-kartonowych na pojedynczej konstrukcji nośnej, z pokryciem obustronnym dwuwarstwowym, dwustronnie płyta impregnowana GKB-I</t>
  </si>
  <si>
    <t>Ścianki działowe z płyt gipsowo-kartonowych o odporności ogniowej REI60</t>
  </si>
  <si>
    <t>4.3.13</t>
  </si>
  <si>
    <t>4.3.14</t>
  </si>
  <si>
    <t>4.3.15</t>
  </si>
  <si>
    <t>Ścianki działowe z płyt gipsowo-kartonowych na pojedynczej konstrukcji nośnej, z pokryciem obustronnym dwuwarstwowym, jednostronni płyta impregnowana GKB-I</t>
  </si>
  <si>
    <t>5.3.12</t>
  </si>
  <si>
    <t>5.3.13</t>
  </si>
  <si>
    <t>Obudowa elementów wieźby dachowej płytami gipsowo-kartonowymi na rusztach metalowych; zabudowa o odporności ogniowej REI30</t>
  </si>
  <si>
    <t>Obudowa g-k słupów konstrukcji drewnianej dla uzyskania odporności ogniowej REI30</t>
  </si>
  <si>
    <t>5.3.14</t>
  </si>
  <si>
    <t>Kanały elastyczne wg PT</t>
  </si>
  <si>
    <t>Kratki wywiewne higro fi 100 (wydatek powietrza do 60m3/h)</t>
  </si>
  <si>
    <t>Kratki wywiewne higro fi 125 (wydatek powietrza od 65m3/h)</t>
  </si>
  <si>
    <t>4.1.28</t>
  </si>
  <si>
    <t>4.1.29</t>
  </si>
  <si>
    <t>4.1.30</t>
  </si>
  <si>
    <t>4.7</t>
  </si>
  <si>
    <t>Okładziny ościeży z płyt z pianki rezolowej</t>
  </si>
  <si>
    <t>Wykonanie dodatkowej wartswy siatki zbrojonej na ścianach</t>
  </si>
  <si>
    <t>Przyklejanie płyt z wełny mineralnej o gr. 16 cm na ścianach wraz z kołkowaniem i montażem listwy startowej</t>
  </si>
  <si>
    <t>Przyklejanie płyt styropianowych gr. 14 cm na ścianach z kołkowaniem i montażem listwy starowej</t>
  </si>
  <si>
    <t>Podklad betonowy z betonu C20/25 gr. 15 cm</t>
  </si>
  <si>
    <t>Izolacje cieplne i przeciwdźwiękowe z płyt styropianowych poziome na wierzchu konstrukcji na sucho - jedna warstwa - styropian gr. 10 cm</t>
  </si>
  <si>
    <t xml:space="preserve">Izolacje cieplne i przeciwdźwiękowe z płyt styropianowych poziome na wierzchu konstrukcji na sucho - jedna warstwa - styropian gr. 10 cm </t>
  </si>
  <si>
    <t>Izolacja przeciwwodna posadzki parteru - zgodnie z pkt. 10.1.2 PT (grunt krzemionkujący, mineralny szlam uszczelniający + hydroizolacja mineralno - polimerowa)</t>
  </si>
  <si>
    <t>Wykonanie dodatkowej warstwy siatki zbrojonej na ścianach</t>
  </si>
  <si>
    <t>Przyklejanie płyt styropianowych gr. 2cm na ościeżach</t>
  </si>
  <si>
    <t>Wyrównanie powierzchni ścian zewnętrznych dodatkowymi paskami izolacji termicznej - przyjęto 30% powierzchni elewacji</t>
  </si>
  <si>
    <t>7.13</t>
  </si>
  <si>
    <t>Drzwi zewnętrzne stalowe  do piwnicy w okleinie drewnopodobnej - D7; szt. 1</t>
  </si>
  <si>
    <t>Jednostronne pelne umocnienie ścian wykopów</t>
  </si>
  <si>
    <t>Dostawa i montaż kominków wentylacyjnych pokrycie papą</t>
  </si>
  <si>
    <t>6.32</t>
  </si>
  <si>
    <t>Rury spustowe okrągłe o śr. 10 cm - montaż z gotowych elementów z blachy stalowej ocynkowanej powlekanej</t>
  </si>
  <si>
    <t>6.33</t>
  </si>
  <si>
    <t>Rynny dachowe półokrągłe o śr. 7,5 cm - montaż z gotowych elementów z blachy stalowej ocynkowanej powlekanej - lukarny</t>
  </si>
  <si>
    <t>STOLARKA DACHOWA o wsp. izolacyjności termicznej 1,1 W/m2K</t>
  </si>
  <si>
    <t>Dwukrotne malowanie farbami lateksowymii powierzchni wewnętrznych - podłoży gipsowych z gruntowaniem - ściany, sufity, zabudowy</t>
  </si>
  <si>
    <t>Otynkowanie biegów schodowych( tynk gipsowy twardy + malowanie)</t>
  </si>
  <si>
    <t>Wykończenie stopni schodów wewnętrznych: wyrównanie powierzchni betonowej, oblożenie płytkami antypoślizgowymi 30x30 z wklejeniem profili krawędziowych stopni oraz podstopnic</t>
  </si>
  <si>
    <t>Okładziny ścienne z płytek z kamieni sztucznych o regularnych kształtach na zaprawie klejowej cienkowarstwowej; płytki o wymiarach mni. 25x40 cm</t>
  </si>
  <si>
    <t>Okładziny ścienne z płytek z kamieni sztucznych o regularnych kształtach na zaprawie klejowej cienkowarstwowej; płytki o wymiarach min. 25x40 cm</t>
  </si>
  <si>
    <t>Tynki wewnętrzne zwykłe kat. III wykonywane mechanicznie na ścianach i słupach wraz z gruntowaniem powierzchni</t>
  </si>
  <si>
    <t>Tynki wewnętrzne zwykłe kat. III wykonywane mechanicznie na stropach i podciągach wraz z gruntowaniem powierzchni</t>
  </si>
  <si>
    <t>KNR 4-01 0104-02 analogia</t>
  </si>
  <si>
    <t>Wykopy ręczne - odkrywka stropu łukowego</t>
  </si>
  <si>
    <t>Usunięcie z piwnic budynku ziemi i gruzu</t>
  </si>
  <si>
    <t xml:space="preserve">Rozebranie warstw starej podłogi </t>
  </si>
  <si>
    <t>Uzupełnienie podłoża z piasku - podłoga na gruncie</t>
  </si>
  <si>
    <t>3.2.7</t>
  </si>
  <si>
    <t>3.2.9</t>
  </si>
  <si>
    <t>3.2.12</t>
  </si>
  <si>
    <t>Wieńce w poziomie stropów: 2 pręty fi 8 mm wg rys. K03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</si>
</sst>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2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1"/>
      <color theme="1"/>
      <name val="Czcionka tekstu podstawowego"/>
      <family val="2"/>
      <charset val="238"/>
    </font>
    <font>
      <b/>
      <sz val="11"/>
      <color theme="1"/>
      <name val="Czcionka tekstu podstawowego"/>
      <family val="2"/>
      <charset val="238"/>
    </font>
    <font>
      <b/>
      <sz val="10"/>
      <color theme="1"/>
      <name val="Calibri"/>
      <family val="2"/>
      <charset val="238"/>
      <scheme val="minor"/>
    </font>
    <font>
      <b/>
      <sz val="11"/>
      <color theme="1"/>
      <name val="Calibri"/>
      <family val="2"/>
      <charset val="238"/>
      <scheme val="minor"/>
    </font>
    <font>
      <sz val="12"/>
      <color theme="1"/>
      <name val="Calibri"/>
      <family val="2"/>
      <charset val="238"/>
      <scheme val="minor"/>
    </font>
    <font>
      <b/>
      <sz val="10"/>
      <color theme="1"/>
      <name val="Calibri"/>
      <family val="2"/>
      <charset val="238"/>
    </font>
    <font>
      <b/>
      <sz val="12"/>
      <color theme="1"/>
      <name val="Calibri"/>
      <family val="2"/>
      <charset val="238"/>
      <scheme val="minor"/>
    </font>
    <font>
      <sz val="14"/>
      <color theme="1"/>
      <name val="Czcionka tekstu podstawowego"/>
      <family val="2"/>
      <charset val="238"/>
    </font>
    <font>
      <sz val="10"/>
      <color indexed="8"/>
      <name val="Calibri"/>
      <family val="2"/>
      <charset val="238"/>
    </font>
    <font>
      <u/>
      <sz val="11"/>
      <color theme="1"/>
      <name val="Calibri"/>
      <family val="2"/>
      <charset val="238"/>
    </font>
    <font>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000000"/>
      <name val="Calibri"/>
      <family val="2"/>
      <charset val="238"/>
    </font>
    <font>
      <sz val="11"/>
      <color rgb="FF000000"/>
      <name val="Times New Roman"/>
      <family val="1"/>
      <charset val="238"/>
    </font>
    <font>
      <sz val="10"/>
      <color rgb="FF000000"/>
      <name val="Calibri"/>
      <family val="2"/>
      <charset val="238"/>
    </font>
    <font>
      <b/>
      <sz val="14"/>
      <color theme="1"/>
      <name val="Calibri"/>
      <family val="2"/>
      <charset val="238"/>
      <scheme val="minor"/>
    </font>
    <font>
      <sz val="10"/>
      <name val="Calibri"/>
      <family val="2"/>
      <charset val="238"/>
      <scheme val="minor"/>
    </font>
    <font>
      <sz val="10"/>
      <color theme="1"/>
      <name val="Calibri"/>
      <family val="2"/>
      <charset val="238"/>
    </font>
    <font>
      <b/>
      <sz val="10"/>
      <name val="Calibri"/>
      <family val="2"/>
      <charset val="238"/>
      <scheme val="minor"/>
    </font>
    <font>
      <b/>
      <sz val="12"/>
      <name val="Calibri"/>
      <family val="2"/>
      <charset val="238"/>
      <scheme val="minor"/>
    </font>
    <font>
      <b/>
      <sz val="11"/>
      <name val="Calibri"/>
      <family val="2"/>
      <charset val="238"/>
      <scheme val="minor"/>
    </font>
    <font>
      <sz val="11"/>
      <name val="Czcionka tekstu podstawowego"/>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5" fillId="0" borderId="0" applyFont="0" applyFill="0" applyBorder="0" applyAlignment="0" applyProtection="0"/>
    <xf numFmtId="0" fontId="17" fillId="0" borderId="0" applyNumberFormat="0" applyFill="0" applyBorder="0" applyAlignment="0" applyProtection="0"/>
  </cellStyleXfs>
  <cellXfs count="158">
    <xf numFmtId="0" fontId="0" fillId="0" borderId="0" xfId="0"/>
    <xf numFmtId="0" fontId="4"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3" fontId="4" fillId="0" borderId="1" xfId="1" applyFont="1" applyBorder="1" applyAlignment="1">
      <alignment vertical="center"/>
    </xf>
    <xf numFmtId="43" fontId="7" fillId="0" borderId="1" xfId="1" applyFont="1" applyBorder="1" applyAlignment="1">
      <alignment vertical="center"/>
    </xf>
    <xf numFmtId="43" fontId="4" fillId="0" borderId="0" xfId="1" applyFont="1" applyAlignment="1">
      <alignment vertical="center"/>
    </xf>
    <xf numFmtId="43" fontId="7" fillId="0" borderId="1" xfId="1" applyFont="1" applyBorder="1" applyAlignment="1">
      <alignment horizontal="center" vertical="center"/>
    </xf>
    <xf numFmtId="43" fontId="4" fillId="0" borderId="1" xfId="1" applyFont="1" applyBorder="1" applyAlignment="1">
      <alignment horizontal="right" vertical="center"/>
    </xf>
    <xf numFmtId="0" fontId="4" fillId="0" borderId="1" xfId="0" applyNumberFormat="1"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8" fillId="0" borderId="1" xfId="1" applyFont="1" applyBorder="1" applyAlignment="1">
      <alignment vertical="center"/>
    </xf>
    <xf numFmtId="43" fontId="3" fillId="0" borderId="1" xfId="1" applyFont="1" applyBorder="1" applyAlignment="1">
      <alignment vertical="center"/>
    </xf>
    <xf numFmtId="0" fontId="4" fillId="0" borderId="1" xfId="0" applyNumberFormat="1"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43" fontId="3" fillId="0" borderId="1" xfId="0" applyNumberFormat="1" applyFont="1" applyBorder="1" applyAlignment="1">
      <alignment vertical="center"/>
    </xf>
    <xf numFmtId="0" fontId="4" fillId="0" borderId="1" xfId="0" applyFont="1" applyBorder="1" applyAlignment="1">
      <alignment horizontal="center" vertical="center"/>
    </xf>
    <xf numFmtId="43" fontId="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0" xfId="0" applyFont="1" applyBorder="1" applyAlignment="1">
      <alignment vertical="center"/>
    </xf>
    <xf numFmtId="43" fontId="4" fillId="0" borderId="0" xfId="1" applyFont="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43" fontId="4" fillId="0" borderId="1" xfId="1" applyFont="1" applyFill="1" applyBorder="1" applyAlignment="1">
      <alignment vertical="center"/>
    </xf>
    <xf numFmtId="43" fontId="4" fillId="0" borderId="1" xfId="1" applyFont="1" applyFill="1" applyBorder="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43" fontId="7" fillId="2" borderId="1" xfId="1" applyFont="1" applyFill="1" applyBorder="1" applyAlignment="1">
      <alignment vertical="center"/>
    </xf>
    <xf numFmtId="43" fontId="8" fillId="2" borderId="1" xfId="1" applyFont="1" applyFill="1" applyBorder="1" applyAlignment="1">
      <alignment vertical="center"/>
    </xf>
    <xf numFmtId="0" fontId="4" fillId="2" borderId="1" xfId="0" applyFont="1" applyFill="1" applyBorder="1" applyAlignment="1">
      <alignment horizontal="center" vertical="center"/>
    </xf>
    <xf numFmtId="43" fontId="4" fillId="2" borderId="1" xfId="1" applyFont="1" applyFill="1" applyBorder="1" applyAlignment="1">
      <alignment vertical="center"/>
    </xf>
    <xf numFmtId="43" fontId="0" fillId="0" borderId="0" xfId="1" applyFont="1" applyAlignment="1">
      <alignment vertical="center"/>
    </xf>
    <xf numFmtId="43" fontId="7" fillId="2"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Fill="1" applyBorder="1" applyAlignment="1">
      <alignment vertical="center" wrapText="1"/>
    </xf>
    <xf numFmtId="0" fontId="4" fillId="0" borderId="1" xfId="0" applyFont="1" applyBorder="1" applyAlignment="1">
      <alignment horizontal="center" vertical="center"/>
    </xf>
    <xf numFmtId="0" fontId="2" fillId="0" borderId="0" xfId="0" applyFont="1" applyAlignment="1">
      <alignment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43" fontId="2" fillId="0" borderId="1" xfId="0" applyNumberFormat="1" applyFont="1" applyBorder="1" applyAlignment="1">
      <alignment vertical="center"/>
    </xf>
    <xf numFmtId="0" fontId="8" fillId="0" borderId="0" xfId="0" applyFont="1" applyAlignment="1">
      <alignment vertical="center"/>
    </xf>
    <xf numFmtId="43" fontId="8" fillId="0" borderId="0" xfId="0" applyNumberFormat="1" applyFont="1" applyAlignment="1">
      <alignment vertical="center"/>
    </xf>
    <xf numFmtId="0" fontId="12" fillId="0" borderId="0" xfId="0" applyFont="1" applyAlignment="1">
      <alignment vertical="center"/>
    </xf>
    <xf numFmtId="43" fontId="3" fillId="0" borderId="0" xfId="1" applyFont="1" applyAlignment="1">
      <alignment vertical="center"/>
    </xf>
    <xf numFmtId="43" fontId="8" fillId="0" borderId="0" xfId="1" applyFont="1" applyAlignment="1">
      <alignment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4" fillId="3" borderId="1" xfId="0" applyFont="1" applyFill="1" applyBorder="1" applyAlignment="1">
      <alignment horizontal="center" vertical="center"/>
    </xf>
    <xf numFmtId="43" fontId="4" fillId="3" borderId="1" xfId="1" applyFont="1" applyFill="1" applyBorder="1" applyAlignment="1">
      <alignment horizontal="right" vertical="center"/>
    </xf>
    <xf numFmtId="43" fontId="4" fillId="3" borderId="1" xfId="1" applyFont="1" applyFill="1" applyBorder="1" applyAlignment="1">
      <alignment vertical="center"/>
    </xf>
    <xf numFmtId="43" fontId="7" fillId="3" borderId="1" xfId="1" applyFont="1" applyFill="1" applyBorder="1" applyAlignment="1">
      <alignment vertic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1" xfId="0" applyFont="1" applyFill="1" applyBorder="1" applyAlignment="1">
      <alignment horizontal="center" vertical="center"/>
    </xf>
    <xf numFmtId="43" fontId="7" fillId="4" borderId="1" xfId="1" applyFont="1" applyFill="1" applyBorder="1" applyAlignment="1">
      <alignment vertical="center"/>
    </xf>
    <xf numFmtId="0" fontId="4" fillId="4" borderId="1" xfId="0" applyFont="1" applyFill="1" applyBorder="1" applyAlignment="1">
      <alignment horizontal="center" vertical="center"/>
    </xf>
    <xf numFmtId="43" fontId="4" fillId="4" borderId="1" xfId="1" applyFont="1" applyFill="1" applyBorder="1" applyAlignment="1">
      <alignment vertical="center"/>
    </xf>
    <xf numFmtId="0" fontId="7" fillId="3" borderId="1" xfId="0" applyFont="1" applyFill="1" applyBorder="1" applyAlignment="1">
      <alignment horizontal="center" vertical="center" wrapText="1"/>
    </xf>
    <xf numFmtId="0" fontId="4" fillId="2" borderId="1" xfId="0" applyFont="1" applyFill="1" applyBorder="1" applyAlignment="1">
      <alignment vertical="center" wrapText="1"/>
    </xf>
    <xf numFmtId="43" fontId="8" fillId="3" borderId="1" xfId="1" applyFont="1" applyFill="1" applyBorder="1" applyAlignment="1">
      <alignment vertical="center"/>
    </xf>
    <xf numFmtId="43" fontId="7" fillId="3"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8" fillId="5" borderId="1" xfId="0" applyFont="1" applyFill="1" applyBorder="1" applyAlignment="1">
      <alignment horizontal="center" vertical="center" wrapText="1"/>
    </xf>
    <xf numFmtId="43" fontId="8" fillId="5" borderId="1" xfId="1" applyFont="1" applyFill="1" applyBorder="1" applyAlignment="1">
      <alignment horizontal="center" vertical="center"/>
    </xf>
    <xf numFmtId="43" fontId="8" fillId="5" borderId="1" xfId="1" applyFont="1" applyFill="1" applyBorder="1" applyAlignment="1">
      <alignment horizontal="center" vertical="center" wrapText="1"/>
    </xf>
    <xf numFmtId="0" fontId="7" fillId="5" borderId="1" xfId="0" applyFont="1" applyFill="1" applyBorder="1" applyAlignment="1">
      <alignment horizontal="center" vertical="center" wrapText="1"/>
    </xf>
    <xf numFmtId="43" fontId="7" fillId="5" borderId="1" xfId="1" applyFont="1" applyFill="1" applyBorder="1" applyAlignment="1">
      <alignment horizontal="center" vertical="center"/>
    </xf>
    <xf numFmtId="0" fontId="11" fillId="5" borderId="1" xfId="0" applyFont="1" applyFill="1" applyBorder="1" applyAlignment="1">
      <alignment horizontal="center" vertical="center" wrapText="1"/>
    </xf>
    <xf numFmtId="43" fontId="11" fillId="5" borderId="1" xfId="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43" fontId="11" fillId="5" borderId="1" xfId="1" applyFont="1" applyFill="1" applyBorder="1" applyAlignment="1">
      <alignment vertical="center"/>
    </xf>
    <xf numFmtId="0" fontId="7" fillId="5" borderId="1" xfId="0" applyFont="1" applyFill="1" applyBorder="1" applyAlignment="1">
      <alignment horizontal="center" vertical="center"/>
    </xf>
    <xf numFmtId="43" fontId="7" fillId="5" borderId="1" xfId="1" applyFont="1" applyFill="1" applyBorder="1" applyAlignment="1">
      <alignment vertical="center"/>
    </xf>
    <xf numFmtId="0" fontId="13" fillId="0" borderId="1"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 fillId="0" borderId="0" xfId="0" applyFont="1" applyAlignment="1">
      <alignment vertical="center"/>
    </xf>
    <xf numFmtId="0" fontId="14" fillId="0" borderId="0" xfId="0" applyFont="1" applyAlignment="1">
      <alignment horizontal="left" vertical="center"/>
    </xf>
    <xf numFmtId="43" fontId="1" fillId="0" borderId="0" xfId="1" applyFont="1" applyAlignment="1">
      <alignment vertical="center"/>
    </xf>
    <xf numFmtId="0" fontId="15" fillId="0" borderId="0" xfId="0" applyFont="1" applyAlignment="1">
      <alignment horizontal="right" vertical="center" indent="2"/>
    </xf>
    <xf numFmtId="0" fontId="15" fillId="0" borderId="0" xfId="0" applyFont="1" applyAlignment="1">
      <alignment horizontal="left" vertical="center" indent="5"/>
    </xf>
    <xf numFmtId="0" fontId="17" fillId="0" borderId="0" xfId="2" applyAlignment="1">
      <alignment horizontal="left" vertical="center" indent="4"/>
    </xf>
    <xf numFmtId="43" fontId="1" fillId="0" borderId="0" xfId="1" applyFont="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6" fillId="0" borderId="1" xfId="0" applyFont="1" applyBorder="1" applyAlignment="1">
      <alignment horizontal="center" vertical="center"/>
    </xf>
    <xf numFmtId="0" fontId="11" fillId="5" borderId="1" xfId="0" applyFont="1" applyFill="1" applyBorder="1" applyAlignment="1">
      <alignment horizontal="center" vertical="center" wrapText="1"/>
    </xf>
    <xf numFmtId="43" fontId="4" fillId="0" borderId="1" xfId="1" applyFont="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43" fontId="4" fillId="0" borderId="1" xfId="1" applyFont="1" applyFill="1" applyBorder="1" applyAlignment="1">
      <alignment horizontal="center" vertical="center"/>
    </xf>
    <xf numFmtId="0" fontId="4" fillId="0" borderId="1" xfId="0" applyFont="1" applyFill="1" applyBorder="1" applyAlignment="1">
      <alignment horizontal="left" vertical="center" wrapText="1"/>
    </xf>
    <xf numFmtId="0" fontId="24" fillId="0" borderId="0" xfId="0" applyFont="1" applyAlignment="1">
      <alignment horizontal="justify" vertical="center"/>
    </xf>
    <xf numFmtId="0" fontId="4" fillId="0" borderId="3" xfId="0" applyFont="1" applyBorder="1" applyAlignment="1">
      <alignment vertical="center" wrapText="1"/>
    </xf>
    <xf numFmtId="0" fontId="23" fillId="0" borderId="1" xfId="0" applyFont="1" applyBorder="1" applyAlignment="1">
      <alignment vertical="center" wrapText="1"/>
    </xf>
    <xf numFmtId="0" fontId="4" fillId="0" borderId="0" xfId="0" applyFont="1" applyBorder="1" applyAlignment="1">
      <alignment vertical="center" wrapText="1"/>
    </xf>
    <xf numFmtId="43" fontId="7" fillId="0" borderId="1" xfId="1" applyFont="1" applyFill="1" applyBorder="1" applyAlignment="1">
      <alignment vertical="center"/>
    </xf>
    <xf numFmtId="43" fontId="23" fillId="0" borderId="1" xfId="1" applyFont="1" applyBorder="1" applyAlignment="1">
      <alignment vertical="center"/>
    </xf>
    <xf numFmtId="43" fontId="25" fillId="0" borderId="1" xfId="1" applyFont="1" applyBorder="1" applyAlignment="1">
      <alignment horizontal="center" vertical="center"/>
    </xf>
    <xf numFmtId="43" fontId="26" fillId="5" borderId="1" xfId="1" applyFont="1" applyFill="1" applyBorder="1" applyAlignment="1">
      <alignment horizontal="center" vertical="center"/>
    </xf>
    <xf numFmtId="43" fontId="23" fillId="0" borderId="1" xfId="1" applyFont="1" applyBorder="1" applyAlignment="1">
      <alignment horizontal="center" vertical="center"/>
    </xf>
    <xf numFmtId="43" fontId="23" fillId="2" borderId="1" xfId="1" applyFont="1" applyFill="1" applyBorder="1" applyAlignment="1">
      <alignment vertical="center"/>
    </xf>
    <xf numFmtId="43" fontId="23" fillId="0" borderId="1" xfId="1" applyFont="1" applyBorder="1" applyAlignment="1">
      <alignment horizontal="right" vertical="center"/>
    </xf>
    <xf numFmtId="164" fontId="23" fillId="0" borderId="1" xfId="1" applyNumberFormat="1" applyFont="1" applyBorder="1" applyAlignment="1">
      <alignment vertical="center"/>
    </xf>
    <xf numFmtId="43" fontId="25" fillId="3" borderId="1" xfId="1" applyFont="1" applyFill="1" applyBorder="1" applyAlignment="1">
      <alignment vertical="center"/>
    </xf>
    <xf numFmtId="43" fontId="23" fillId="0" borderId="1" xfId="1" applyFont="1" applyFill="1" applyBorder="1" applyAlignment="1">
      <alignment vertical="center"/>
    </xf>
    <xf numFmtId="43" fontId="25" fillId="2" borderId="1" xfId="1" applyFont="1" applyFill="1" applyBorder="1" applyAlignment="1">
      <alignment vertical="center"/>
    </xf>
    <xf numFmtId="43" fontId="23" fillId="0" borderId="0" xfId="1" applyFont="1" applyAlignment="1">
      <alignment vertical="center"/>
    </xf>
    <xf numFmtId="43" fontId="25" fillId="0" borderId="1" xfId="1" applyFont="1" applyFill="1" applyBorder="1" applyAlignment="1">
      <alignment vertical="center"/>
    </xf>
    <xf numFmtId="43" fontId="27" fillId="5" borderId="1" xfId="1" applyFont="1" applyFill="1" applyBorder="1" applyAlignment="1">
      <alignment horizontal="center" vertical="center"/>
    </xf>
    <xf numFmtId="43" fontId="23" fillId="0" borderId="1" xfId="1" applyFont="1" applyFill="1" applyBorder="1" applyAlignment="1">
      <alignment horizontal="center" vertical="center"/>
    </xf>
    <xf numFmtId="43" fontId="25" fillId="2" borderId="1" xfId="1" applyFont="1" applyFill="1" applyBorder="1" applyAlignment="1">
      <alignment horizontal="center" vertical="center"/>
    </xf>
    <xf numFmtId="43" fontId="25" fillId="3" borderId="1" xfId="1" applyFont="1" applyFill="1" applyBorder="1" applyAlignment="1">
      <alignment horizontal="center" vertical="center"/>
    </xf>
    <xf numFmtId="0" fontId="28" fillId="0" borderId="0" xfId="0" applyFont="1" applyAlignment="1">
      <alignment vertical="center"/>
    </xf>
    <xf numFmtId="14" fontId="4" fillId="0" borderId="1" xfId="0" applyNumberFormat="1" applyFont="1" applyBorder="1" applyAlignment="1">
      <alignment horizontal="center" vertical="center"/>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3" fillId="0" borderId="5" xfId="0" applyFont="1" applyBorder="1" applyAlignment="1">
      <alignment horizontal="center" vertical="center" wrapText="1"/>
    </xf>
    <xf numFmtId="0" fontId="22" fillId="0" borderId="0" xfId="0" applyFont="1" applyAlignment="1">
      <alignment horizontal="center" vertical="center"/>
    </xf>
    <xf numFmtId="43" fontId="18" fillId="0" borderId="0" xfId="1" applyFont="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left" vertical="center"/>
    </xf>
    <xf numFmtId="0" fontId="11" fillId="5" borderId="4" xfId="0" applyFont="1" applyFill="1" applyBorder="1" applyAlignment="1">
      <alignment horizontal="left" vertical="center"/>
    </xf>
    <xf numFmtId="0" fontId="11" fillId="5" borderId="3" xfId="0" applyFont="1" applyFill="1" applyBorder="1" applyAlignment="1">
      <alignment horizontal="left" vertical="center"/>
    </xf>
    <xf numFmtId="0" fontId="11" fillId="5"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4" xfId="0" applyFont="1" applyFill="1" applyBorder="1" applyAlignment="1">
      <alignment horizontal="left" vertical="center"/>
    </xf>
    <xf numFmtId="0" fontId="8" fillId="5" borderId="3" xfId="0"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2"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abSelected="1" view="pageBreakPreview" topLeftCell="A22" zoomScaleNormal="100" zoomScaleSheetLayoutView="100" workbookViewId="0">
      <selection activeCell="C14" sqref="C14"/>
    </sheetView>
  </sheetViews>
  <sheetFormatPr defaultRowHeight="14.25"/>
  <cols>
    <col min="1" max="1" width="4.875" style="24" customWidth="1"/>
    <col min="2" max="2" width="26.125" style="24" customWidth="1"/>
    <col min="3" max="3" width="14.625" style="24" bestFit="1" customWidth="1"/>
    <col min="4" max="4" width="11.625" style="24" bestFit="1" customWidth="1"/>
    <col min="5" max="5" width="13" style="24" bestFit="1" customWidth="1"/>
    <col min="6" max="6" width="9" style="24"/>
    <col min="7" max="7" width="11.625" style="24" bestFit="1" customWidth="1"/>
    <col min="8" max="8" width="13.125" style="24" bestFit="1" customWidth="1"/>
    <col min="9" max="9" width="11.625" style="24" bestFit="1" customWidth="1"/>
    <col min="10" max="16384" width="9" style="24"/>
  </cols>
  <sheetData>
    <row r="1" spans="1:10" ht="24.75" customHeight="1">
      <c r="A1" s="24" t="s">
        <v>1963</v>
      </c>
      <c r="B1" s="57"/>
    </row>
    <row r="2" spans="1:10" ht="30" customHeight="1">
      <c r="A2" s="23"/>
      <c r="B2" s="136" t="s">
        <v>1964</v>
      </c>
      <c r="C2" s="136"/>
      <c r="D2" s="136"/>
      <c r="E2" s="23"/>
      <c r="F2" s="23"/>
      <c r="G2" s="23"/>
    </row>
    <row r="3" spans="1:10" ht="16.5" customHeight="1">
      <c r="A3" s="23"/>
      <c r="B3" s="55" t="s">
        <v>1579</v>
      </c>
      <c r="C3" s="23"/>
      <c r="D3" s="23"/>
      <c r="E3" s="23"/>
      <c r="F3" s="23"/>
      <c r="G3" s="48"/>
    </row>
    <row r="4" spans="1:10" ht="21" customHeight="1">
      <c r="A4" s="18" t="s">
        <v>0</v>
      </c>
      <c r="B4" s="18" t="s">
        <v>1881</v>
      </c>
      <c r="C4" s="19" t="s">
        <v>1574</v>
      </c>
      <c r="D4" s="18" t="s">
        <v>1575</v>
      </c>
      <c r="E4" s="19" t="s">
        <v>1576</v>
      </c>
      <c r="F4" s="23"/>
      <c r="G4" s="23"/>
    </row>
    <row r="5" spans="1:10" ht="15">
      <c r="A5" s="25">
        <v>1</v>
      </c>
      <c r="B5" s="26" t="s">
        <v>502</v>
      </c>
      <c r="C5" s="27">
        <f>Termomodernizacja!G2</f>
        <v>0</v>
      </c>
      <c r="D5" s="27">
        <f>C5*23%</f>
        <v>0</v>
      </c>
      <c r="E5" s="27">
        <f>C5+D5</f>
        <v>0</v>
      </c>
      <c r="F5" s="23"/>
      <c r="G5" s="58"/>
      <c r="H5" s="58"/>
      <c r="I5" s="58"/>
      <c r="J5" s="43"/>
    </row>
    <row r="6" spans="1:10" ht="15">
      <c r="A6" s="25">
        <v>3</v>
      </c>
      <c r="B6" s="26" t="s">
        <v>1577</v>
      </c>
      <c r="C6" s="27">
        <f>Termomodernizacja!G99</f>
        <v>0</v>
      </c>
      <c r="D6" s="27">
        <f t="shared" ref="D6:D7" si="0">C6*23%</f>
        <v>0</v>
      </c>
      <c r="E6" s="27">
        <f t="shared" ref="E6:E7" si="1">C6+D6</f>
        <v>0</v>
      </c>
      <c r="F6" s="23"/>
      <c r="G6" s="58"/>
      <c r="H6" s="58"/>
      <c r="I6" s="58"/>
      <c r="J6" s="43"/>
    </row>
    <row r="7" spans="1:10" ht="15">
      <c r="A7" s="25">
        <v>4</v>
      </c>
      <c r="B7" s="26" t="s">
        <v>1578</v>
      </c>
      <c r="C7" s="27">
        <f>Termomodernizacja!G219</f>
        <v>0</v>
      </c>
      <c r="D7" s="27">
        <f t="shared" si="0"/>
        <v>0</v>
      </c>
      <c r="E7" s="27">
        <f t="shared" si="1"/>
        <v>0</v>
      </c>
      <c r="F7" s="23"/>
      <c r="G7" s="58"/>
      <c r="H7" s="58"/>
      <c r="I7" s="58"/>
      <c r="J7" s="43"/>
    </row>
    <row r="8" spans="1:10" ht="15">
      <c r="A8" s="26"/>
      <c r="B8" s="25" t="s">
        <v>1486</v>
      </c>
      <c r="C8" s="29">
        <f>SUM(C5:C7)</f>
        <v>0</v>
      </c>
      <c r="D8" s="29">
        <f>SUM(D5:D7)</f>
        <v>0</v>
      </c>
      <c r="E8" s="29">
        <f>SUM(E5:E7)</f>
        <v>0</v>
      </c>
      <c r="F8" s="23"/>
      <c r="G8" s="59"/>
      <c r="H8" s="59"/>
      <c r="I8" s="59"/>
      <c r="J8" s="43"/>
    </row>
    <row r="9" spans="1:10" ht="17.25" customHeight="1">
      <c r="A9" s="48"/>
      <c r="B9" s="55" t="s">
        <v>1652</v>
      </c>
      <c r="C9" s="48"/>
      <c r="D9" s="48"/>
      <c r="E9" s="48"/>
      <c r="F9" s="23"/>
      <c r="G9" s="23"/>
    </row>
    <row r="10" spans="1:10" ht="24.75" customHeight="1">
      <c r="A10" s="18" t="s">
        <v>0</v>
      </c>
      <c r="B10" s="18" t="s">
        <v>1881</v>
      </c>
      <c r="C10" s="19" t="s">
        <v>1574</v>
      </c>
      <c r="D10" s="18" t="s">
        <v>1575</v>
      </c>
      <c r="E10" s="19" t="s">
        <v>1576</v>
      </c>
      <c r="F10" s="23"/>
      <c r="G10" s="23"/>
    </row>
    <row r="11" spans="1:10" ht="15">
      <c r="A11" s="53">
        <v>1</v>
      </c>
      <c r="B11" s="52" t="s">
        <v>502</v>
      </c>
      <c r="C11" s="54">
        <f>Przebudowa!G7+Przebudowa!G2</f>
        <v>0</v>
      </c>
      <c r="D11" s="54">
        <f>C11*23%</f>
        <v>0</v>
      </c>
      <c r="E11" s="54">
        <f>C11+D11</f>
        <v>0</v>
      </c>
      <c r="F11" s="23"/>
      <c r="G11" s="23"/>
    </row>
    <row r="12" spans="1:10" ht="15">
      <c r="A12" s="53">
        <v>2</v>
      </c>
      <c r="B12" s="52" t="s">
        <v>1577</v>
      </c>
      <c r="C12" s="54">
        <f>Przebudowa!G368</f>
        <v>0</v>
      </c>
      <c r="D12" s="54">
        <f t="shared" ref="D12:D15" si="2">C12*23%</f>
        <v>0</v>
      </c>
      <c r="E12" s="54">
        <f t="shared" ref="E12:E15" si="3">C12+D12</f>
        <v>0</v>
      </c>
      <c r="F12" s="23"/>
      <c r="G12" s="23"/>
    </row>
    <row r="13" spans="1:10" ht="15">
      <c r="A13" s="53">
        <v>3</v>
      </c>
      <c r="B13" s="52" t="s">
        <v>1578</v>
      </c>
      <c r="C13" s="54">
        <f>Przebudowa!G646</f>
        <v>0</v>
      </c>
      <c r="D13" s="54">
        <f t="shared" si="2"/>
        <v>0</v>
      </c>
      <c r="E13" s="54">
        <f t="shared" si="3"/>
        <v>0</v>
      </c>
      <c r="F13" s="23"/>
      <c r="G13" s="23"/>
    </row>
    <row r="14" spans="1:10" ht="15">
      <c r="A14" s="53">
        <v>4</v>
      </c>
      <c r="B14" s="52" t="s">
        <v>1653</v>
      </c>
      <c r="C14" s="54">
        <f>zagospodarowanie!G49</f>
        <v>0</v>
      </c>
      <c r="D14" s="54">
        <f t="shared" si="2"/>
        <v>0</v>
      </c>
      <c r="E14" s="54">
        <f t="shared" si="3"/>
        <v>0</v>
      </c>
      <c r="F14" s="23"/>
      <c r="G14" s="23"/>
    </row>
    <row r="15" spans="1:10" ht="15">
      <c r="A15" s="53">
        <v>5</v>
      </c>
      <c r="B15" s="52" t="s">
        <v>1654</v>
      </c>
      <c r="C15" s="54">
        <f>zagospodarowanie!G2</f>
        <v>0</v>
      </c>
      <c r="D15" s="54">
        <f t="shared" si="2"/>
        <v>0</v>
      </c>
      <c r="E15" s="54">
        <f t="shared" si="3"/>
        <v>0</v>
      </c>
    </row>
    <row r="16" spans="1:10" ht="15">
      <c r="A16" s="52"/>
      <c r="B16" s="53" t="s">
        <v>1486</v>
      </c>
      <c r="C16" s="29">
        <f>SUM(C11:C15)</f>
        <v>0</v>
      </c>
      <c r="D16" s="29">
        <f t="shared" ref="D16:E16" si="4">SUM(D11:D15)</f>
        <v>0</v>
      </c>
      <c r="E16" s="29">
        <f t="shared" si="4"/>
        <v>0</v>
      </c>
    </row>
    <row r="18" spans="1:5" ht="15">
      <c r="B18" s="102" t="s">
        <v>1902</v>
      </c>
      <c r="C18" s="29">
        <f>C8+C16</f>
        <v>0</v>
      </c>
      <c r="D18" s="29">
        <f>D8+D16</f>
        <v>0</v>
      </c>
      <c r="E18" s="29">
        <f>E8+E16</f>
        <v>0</v>
      </c>
    </row>
    <row r="19" spans="1:5" ht="15">
      <c r="B19" s="2"/>
      <c r="C19" s="56"/>
      <c r="D19" s="56"/>
      <c r="E19" s="56"/>
    </row>
    <row r="20" spans="1:5" ht="15">
      <c r="A20" s="94" t="s">
        <v>1945</v>
      </c>
      <c r="C20" s="93"/>
      <c r="D20" s="95"/>
      <c r="E20" s="93"/>
    </row>
    <row r="21" spans="1:5" ht="15">
      <c r="A21" s="93"/>
      <c r="B21" s="93"/>
      <c r="C21" s="96" t="s">
        <v>1946</v>
      </c>
      <c r="D21" s="95" t="s">
        <v>1947</v>
      </c>
      <c r="E21" s="93" t="s">
        <v>1948</v>
      </c>
    </row>
    <row r="22" spans="1:5" ht="15">
      <c r="A22" s="93"/>
      <c r="B22" s="93"/>
      <c r="C22" s="96" t="s">
        <v>1949</v>
      </c>
      <c r="D22" s="95" t="s">
        <v>1950</v>
      </c>
      <c r="E22" s="93" t="s">
        <v>1951</v>
      </c>
    </row>
    <row r="23" spans="1:5" ht="15">
      <c r="A23" s="93"/>
      <c r="B23" s="93"/>
      <c r="C23" s="96" t="s">
        <v>1952</v>
      </c>
      <c r="D23" s="95" t="s">
        <v>1950</v>
      </c>
      <c r="E23" s="93" t="s">
        <v>1951</v>
      </c>
    </row>
    <row r="24" spans="1:5" ht="15">
      <c r="A24" s="93"/>
      <c r="B24" s="93"/>
      <c r="C24" s="96" t="s">
        <v>1953</v>
      </c>
      <c r="D24" s="95" t="s">
        <v>1947</v>
      </c>
      <c r="E24" s="93" t="s">
        <v>1951</v>
      </c>
    </row>
    <row r="25" spans="1:5" ht="15">
      <c r="A25" s="93"/>
      <c r="B25" s="93"/>
      <c r="C25" s="93"/>
      <c r="D25" s="95"/>
      <c r="E25" s="93"/>
    </row>
    <row r="26" spans="1:5" ht="15">
      <c r="A26" s="93" t="s">
        <v>1965</v>
      </c>
      <c r="C26" s="93"/>
      <c r="D26" s="95"/>
      <c r="E26" s="93"/>
    </row>
    <row r="27" spans="1:5" ht="15">
      <c r="A27" s="93"/>
      <c r="B27" s="97" t="s">
        <v>1954</v>
      </c>
      <c r="C27" s="98"/>
      <c r="D27" s="95"/>
      <c r="E27" s="93"/>
    </row>
    <row r="28" spans="1:5" ht="15">
      <c r="A28" s="93"/>
      <c r="B28" s="97" t="s">
        <v>1955</v>
      </c>
      <c r="C28" s="93"/>
      <c r="D28" s="95"/>
      <c r="E28" s="93"/>
    </row>
    <row r="29" spans="1:5" ht="15">
      <c r="A29" s="93"/>
      <c r="B29" s="97" t="s">
        <v>1956</v>
      </c>
      <c r="C29" s="93"/>
      <c r="D29" s="95"/>
      <c r="E29" s="93"/>
    </row>
    <row r="30" spans="1:5" ht="8.25" customHeight="1">
      <c r="A30" s="93"/>
      <c r="B30" s="97"/>
      <c r="C30" s="93"/>
      <c r="D30" s="95"/>
      <c r="E30" s="93"/>
    </row>
    <row r="31" spans="1:5" ht="15">
      <c r="A31" s="93"/>
      <c r="D31" s="99" t="s">
        <v>1957</v>
      </c>
      <c r="E31" s="93"/>
    </row>
    <row r="32" spans="1:5" ht="15">
      <c r="A32" s="93"/>
      <c r="B32" s="97"/>
      <c r="C32" s="137" t="s">
        <v>1958</v>
      </c>
      <c r="D32" s="137"/>
      <c r="E32" s="137"/>
    </row>
    <row r="33" spans="1:5" ht="15">
      <c r="A33" s="93"/>
      <c r="B33" s="55" t="s">
        <v>1959</v>
      </c>
      <c r="C33" s="93"/>
      <c r="D33" s="95"/>
      <c r="E33" s="93"/>
    </row>
    <row r="34" spans="1:5" ht="134.25" customHeight="1">
      <c r="A34" s="134" t="s">
        <v>1966</v>
      </c>
      <c r="B34" s="134"/>
      <c r="C34" s="134"/>
      <c r="D34" s="134"/>
      <c r="E34" s="134"/>
    </row>
    <row r="35" spans="1:5" ht="15">
      <c r="A35" s="100" t="s">
        <v>1960</v>
      </c>
      <c r="C35" s="93"/>
      <c r="D35" s="95"/>
      <c r="E35" s="93"/>
    </row>
    <row r="36" spans="1:5" ht="24" customHeight="1">
      <c r="A36" s="93"/>
      <c r="B36" s="132" t="s">
        <v>1968</v>
      </c>
      <c r="C36" s="133"/>
      <c r="D36" s="133"/>
      <c r="E36" s="133"/>
    </row>
    <row r="37" spans="1:5" ht="27" customHeight="1">
      <c r="A37" s="93"/>
      <c r="B37" s="132" t="s">
        <v>1969</v>
      </c>
      <c r="C37" s="133"/>
      <c r="D37" s="133"/>
      <c r="E37" s="133"/>
    </row>
    <row r="38" spans="1:5" ht="15" customHeight="1">
      <c r="A38" s="93"/>
      <c r="B38" s="132" t="s">
        <v>1970</v>
      </c>
      <c r="C38" s="133"/>
      <c r="D38" s="133"/>
      <c r="E38" s="133"/>
    </row>
    <row r="39" spans="1:5" ht="15" customHeight="1">
      <c r="A39" s="93"/>
      <c r="B39" s="132" t="s">
        <v>1971</v>
      </c>
      <c r="C39" s="133"/>
      <c r="D39" s="133"/>
      <c r="E39" s="133"/>
    </row>
    <row r="40" spans="1:5" ht="15" customHeight="1">
      <c r="A40" s="93"/>
      <c r="B40" s="132" t="s">
        <v>1972</v>
      </c>
      <c r="C40" s="133"/>
      <c r="D40" s="133"/>
      <c r="E40" s="133"/>
    </row>
    <row r="41" spans="1:5" ht="15">
      <c r="A41" s="93"/>
      <c r="B41" s="93"/>
      <c r="C41" s="100"/>
      <c r="D41" s="95"/>
      <c r="E41" s="93"/>
    </row>
    <row r="42" spans="1:5" ht="15">
      <c r="A42" s="101" t="s">
        <v>1961</v>
      </c>
      <c r="D42" s="95"/>
      <c r="E42" s="93"/>
    </row>
    <row r="43" spans="1:5" ht="29.25" customHeight="1">
      <c r="A43" s="135" t="s">
        <v>1962</v>
      </c>
      <c r="B43" s="135"/>
      <c r="C43" s="135"/>
      <c r="D43" s="135"/>
      <c r="E43" s="135"/>
    </row>
  </sheetData>
  <mergeCells count="9">
    <mergeCell ref="B40:E40"/>
    <mergeCell ref="A34:E34"/>
    <mergeCell ref="A43:E43"/>
    <mergeCell ref="B2:D2"/>
    <mergeCell ref="C32:E32"/>
    <mergeCell ref="B37:E37"/>
    <mergeCell ref="B36:E36"/>
    <mergeCell ref="B38:E38"/>
    <mergeCell ref="B39:E39"/>
  </mergeCells>
  <printOptions horizontalCentered="1"/>
  <pageMargins left="0.70866141732283472" right="0.15748031496062992" top="0.43307086614173229" bottom="0.35433070866141736" header="0.31496062992125984" footer="0.31496062992125984"/>
  <pageSetup paperSize="9" scale="95"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4"/>
  <sheetViews>
    <sheetView view="pageBreakPreview" topLeftCell="A196" zoomScaleNormal="100" zoomScaleSheetLayoutView="100" workbookViewId="0">
      <selection activeCell="G2" sqref="G2"/>
    </sheetView>
  </sheetViews>
  <sheetFormatPr defaultRowHeight="12.75"/>
  <cols>
    <col min="1" max="1" width="7.75" style="3" customWidth="1"/>
    <col min="2" max="2" width="17.5" style="4" customWidth="1"/>
    <col min="3" max="3" width="47.5" style="4" customWidth="1"/>
    <col min="4" max="4" width="7.375" style="3" customWidth="1"/>
    <col min="5" max="5" width="9.125" style="14" customWidth="1"/>
    <col min="6" max="6" width="11" style="14" bestFit="1" customWidth="1"/>
    <col min="7" max="7" width="15.875" style="14" customWidth="1"/>
    <col min="8" max="16384" width="9" style="1"/>
  </cols>
  <sheetData>
    <row r="1" spans="1:7" ht="25.5">
      <c r="A1" s="10" t="s">
        <v>0</v>
      </c>
      <c r="B1" s="11" t="s">
        <v>1</v>
      </c>
      <c r="C1" s="11" t="s">
        <v>2</v>
      </c>
      <c r="D1" s="11" t="s">
        <v>1199</v>
      </c>
      <c r="E1" s="15" t="s">
        <v>3</v>
      </c>
      <c r="F1" s="15" t="s">
        <v>873</v>
      </c>
      <c r="G1" s="15" t="s">
        <v>874</v>
      </c>
    </row>
    <row r="2" spans="1:7" ht="24.75" customHeight="1">
      <c r="A2" s="144" t="s">
        <v>502</v>
      </c>
      <c r="B2" s="145"/>
      <c r="C2" s="146"/>
      <c r="D2" s="84"/>
      <c r="E2" s="85"/>
      <c r="F2" s="85"/>
      <c r="G2" s="85">
        <f>SUM(G3,G9,G30,G51,G59,G78)</f>
        <v>0</v>
      </c>
    </row>
    <row r="3" spans="1:7" ht="25.5" customHeight="1">
      <c r="A3" s="68">
        <v>1</v>
      </c>
      <c r="B3" s="141" t="s">
        <v>1600</v>
      </c>
      <c r="C3" s="142"/>
      <c r="D3" s="68"/>
      <c r="E3" s="69"/>
      <c r="F3" s="69"/>
      <c r="G3" s="69">
        <f>SUM(G4:G8)</f>
        <v>0</v>
      </c>
    </row>
    <row r="4" spans="1:7" ht="16.5" customHeight="1">
      <c r="A4" s="30" t="s">
        <v>380</v>
      </c>
      <c r="B4" s="6" t="s">
        <v>219</v>
      </c>
      <c r="C4" s="6" t="s">
        <v>2002</v>
      </c>
      <c r="D4" s="9" t="s">
        <v>20</v>
      </c>
      <c r="E4" s="12">
        <f>13*18.27</f>
        <v>237.51</v>
      </c>
      <c r="F4" s="12"/>
      <c r="G4" s="12">
        <f>E4*F4</f>
        <v>0</v>
      </c>
    </row>
    <row r="5" spans="1:7">
      <c r="A5" s="47" t="s">
        <v>398</v>
      </c>
      <c r="B5" s="6" t="s">
        <v>238</v>
      </c>
      <c r="C5" s="6" t="s">
        <v>1581</v>
      </c>
      <c r="D5" s="28" t="s">
        <v>20</v>
      </c>
      <c r="E5" s="12">
        <v>237.51</v>
      </c>
      <c r="F5" s="12"/>
      <c r="G5" s="12">
        <f>E5*F5</f>
        <v>0</v>
      </c>
    </row>
    <row r="6" spans="1:7" ht="25.5">
      <c r="A6" s="47" t="s">
        <v>501</v>
      </c>
      <c r="B6" s="6" t="s">
        <v>220</v>
      </c>
      <c r="C6" s="6" t="s">
        <v>1590</v>
      </c>
      <c r="D6" s="9" t="s">
        <v>20</v>
      </c>
      <c r="E6" s="12">
        <f>237.51</f>
        <v>237.51</v>
      </c>
      <c r="F6" s="12"/>
      <c r="G6" s="12">
        <f>E6*F6</f>
        <v>0</v>
      </c>
    </row>
    <row r="7" spans="1:7" ht="29.25" customHeight="1">
      <c r="A7" s="47" t="s">
        <v>1200</v>
      </c>
      <c r="B7" s="6" t="s">
        <v>178</v>
      </c>
      <c r="C7" s="6" t="s">
        <v>179</v>
      </c>
      <c r="D7" s="47" t="s">
        <v>20</v>
      </c>
      <c r="E7" s="12">
        <f>E6</f>
        <v>237.51</v>
      </c>
      <c r="F7" s="12"/>
      <c r="G7" s="12">
        <f>E7*F7</f>
        <v>0</v>
      </c>
    </row>
    <row r="8" spans="1:7" ht="38.25">
      <c r="A8" s="47" t="s">
        <v>1201</v>
      </c>
      <c r="B8" s="6" t="s">
        <v>128</v>
      </c>
      <c r="C8" s="6" t="s">
        <v>129</v>
      </c>
      <c r="D8" s="9" t="s">
        <v>20</v>
      </c>
      <c r="E8" s="12">
        <f>13*18.27</f>
        <v>237.51</v>
      </c>
      <c r="F8" s="12"/>
      <c r="G8" s="12">
        <f>E8*F8</f>
        <v>0</v>
      </c>
    </row>
    <row r="9" spans="1:7" ht="25.5" customHeight="1">
      <c r="A9" s="68">
        <v>2</v>
      </c>
      <c r="B9" s="140" t="s">
        <v>1641</v>
      </c>
      <c r="C9" s="140"/>
      <c r="D9" s="68"/>
      <c r="E9" s="69"/>
      <c r="F9" s="69"/>
      <c r="G9" s="69">
        <f>SUM(G10:G29)</f>
        <v>0</v>
      </c>
    </row>
    <row r="10" spans="1:7" ht="25.5">
      <c r="A10" s="30" t="s">
        <v>95</v>
      </c>
      <c r="B10" s="6" t="s">
        <v>72</v>
      </c>
      <c r="C10" s="6" t="s">
        <v>295</v>
      </c>
      <c r="D10" s="9" t="s">
        <v>162</v>
      </c>
      <c r="E10" s="12">
        <v>1</v>
      </c>
      <c r="F10" s="12"/>
      <c r="G10" s="12">
        <f t="shared" ref="G10:G29" si="0">E10*F10</f>
        <v>0</v>
      </c>
    </row>
    <row r="11" spans="1:7" ht="15.75" customHeight="1">
      <c r="A11" s="47" t="s">
        <v>108</v>
      </c>
      <c r="B11" s="6" t="s">
        <v>278</v>
      </c>
      <c r="C11" s="6" t="s">
        <v>318</v>
      </c>
      <c r="D11" s="47" t="s">
        <v>20</v>
      </c>
      <c r="E11" s="12">
        <f>E15</f>
        <v>245.2</v>
      </c>
      <c r="F11" s="12"/>
      <c r="G11" s="12">
        <f t="shared" si="0"/>
        <v>0</v>
      </c>
    </row>
    <row r="12" spans="1:7" ht="25.5">
      <c r="A12" s="47" t="s">
        <v>111</v>
      </c>
      <c r="B12" s="6" t="s">
        <v>70</v>
      </c>
      <c r="C12" s="6" t="s">
        <v>71</v>
      </c>
      <c r="D12" s="47" t="s">
        <v>7</v>
      </c>
      <c r="E12" s="12">
        <f>245.2*0.02</f>
        <v>4.9039999999999999</v>
      </c>
      <c r="F12" s="12"/>
      <c r="G12" s="12">
        <f t="shared" si="0"/>
        <v>0</v>
      </c>
    </row>
    <row r="13" spans="1:7">
      <c r="A13" s="47" t="s">
        <v>124</v>
      </c>
      <c r="B13" s="6" t="s">
        <v>72</v>
      </c>
      <c r="C13" s="6" t="s">
        <v>73</v>
      </c>
      <c r="D13" s="47" t="s">
        <v>7</v>
      </c>
      <c r="E13" s="12">
        <f>E12</f>
        <v>4.9039999999999999</v>
      </c>
      <c r="F13" s="12"/>
      <c r="G13" s="12">
        <f t="shared" si="0"/>
        <v>0</v>
      </c>
    </row>
    <row r="14" spans="1:7">
      <c r="A14" s="47" t="s">
        <v>145</v>
      </c>
      <c r="B14" s="6" t="s">
        <v>1009</v>
      </c>
      <c r="C14" s="6" t="s">
        <v>1860</v>
      </c>
      <c r="D14" s="47" t="s">
        <v>20</v>
      </c>
      <c r="E14" s="12">
        <v>245.2</v>
      </c>
      <c r="F14" s="12"/>
      <c r="G14" s="12">
        <f t="shared" si="0"/>
        <v>0</v>
      </c>
    </row>
    <row r="15" spans="1:7" ht="25.5">
      <c r="A15" s="47" t="s">
        <v>1513</v>
      </c>
      <c r="B15" s="6" t="s">
        <v>277</v>
      </c>
      <c r="C15" s="6" t="s">
        <v>296</v>
      </c>
      <c r="D15" s="9" t="s">
        <v>20</v>
      </c>
      <c r="E15" s="12">
        <v>245.2</v>
      </c>
      <c r="F15" s="12"/>
      <c r="G15" s="12">
        <f t="shared" si="0"/>
        <v>0</v>
      </c>
    </row>
    <row r="16" spans="1:7" ht="25.5">
      <c r="A16" s="47" t="s">
        <v>1514</v>
      </c>
      <c r="B16" s="6" t="s">
        <v>297</v>
      </c>
      <c r="C16" s="6" t="s">
        <v>298</v>
      </c>
      <c r="D16" s="9" t="s">
        <v>20</v>
      </c>
      <c r="E16" s="12">
        <v>245.2</v>
      </c>
      <c r="F16" s="12"/>
      <c r="G16" s="12">
        <f t="shared" si="0"/>
        <v>0</v>
      </c>
    </row>
    <row r="17" spans="1:7" ht="31.5" customHeight="1">
      <c r="A17" s="47" t="s">
        <v>1515</v>
      </c>
      <c r="B17" s="6" t="s">
        <v>1009</v>
      </c>
      <c r="C17" s="6" t="s">
        <v>2123</v>
      </c>
      <c r="D17" s="9" t="s">
        <v>20</v>
      </c>
      <c r="E17" s="12">
        <v>245.2</v>
      </c>
      <c r="F17" s="12"/>
      <c r="G17" s="12">
        <f t="shared" si="0"/>
        <v>0</v>
      </c>
    </row>
    <row r="18" spans="1:7" ht="15" customHeight="1">
      <c r="A18" s="47" t="s">
        <v>1516</v>
      </c>
      <c r="B18" s="6" t="s">
        <v>299</v>
      </c>
      <c r="C18" s="6" t="s">
        <v>300</v>
      </c>
      <c r="D18" s="9" t="s">
        <v>20</v>
      </c>
      <c r="E18" s="12">
        <f>(3.8+3.8+4.8)*0.35</f>
        <v>4.339999999999999</v>
      </c>
      <c r="F18" s="12"/>
      <c r="G18" s="12">
        <f t="shared" si="0"/>
        <v>0</v>
      </c>
    </row>
    <row r="19" spans="1:7" ht="15" customHeight="1">
      <c r="A19" s="47" t="s">
        <v>1517</v>
      </c>
      <c r="B19" s="6" t="s">
        <v>301</v>
      </c>
      <c r="C19" s="6" t="s">
        <v>302</v>
      </c>
      <c r="D19" s="9" t="s">
        <v>20</v>
      </c>
      <c r="E19" s="12">
        <v>245.2</v>
      </c>
      <c r="F19" s="12"/>
      <c r="G19" s="12">
        <f t="shared" si="0"/>
        <v>0</v>
      </c>
    </row>
    <row r="20" spans="1:7" ht="15" customHeight="1">
      <c r="A20" s="77" t="s">
        <v>1620</v>
      </c>
      <c r="B20" s="6" t="s">
        <v>1009</v>
      </c>
      <c r="C20" s="6" t="s">
        <v>2122</v>
      </c>
      <c r="D20" s="77" t="s">
        <v>20</v>
      </c>
      <c r="E20" s="12">
        <f>11.54*2*2</f>
        <v>46.16</v>
      </c>
      <c r="F20" s="12"/>
      <c r="G20" s="12"/>
    </row>
    <row r="21" spans="1:7" ht="19.5" customHeight="1">
      <c r="A21" s="77" t="s">
        <v>1621</v>
      </c>
      <c r="B21" s="6" t="s">
        <v>303</v>
      </c>
      <c r="C21" s="6" t="s">
        <v>304</v>
      </c>
      <c r="D21" s="9" t="s">
        <v>20</v>
      </c>
      <c r="E21" s="12">
        <f>(3.8+3.8+4.8)*0.35</f>
        <v>4.339999999999999</v>
      </c>
      <c r="F21" s="12"/>
      <c r="G21" s="12">
        <f t="shared" si="0"/>
        <v>0</v>
      </c>
    </row>
    <row r="22" spans="1:7" ht="25.5">
      <c r="A22" s="77" t="s">
        <v>1622</v>
      </c>
      <c r="B22" s="6" t="s">
        <v>305</v>
      </c>
      <c r="C22" s="6" t="s">
        <v>306</v>
      </c>
      <c r="D22" s="9" t="s">
        <v>93</v>
      </c>
      <c r="E22" s="12">
        <f>3.8+3.8+4.8+9*2</f>
        <v>30.4</v>
      </c>
      <c r="F22" s="12"/>
      <c r="G22" s="12">
        <f t="shared" si="0"/>
        <v>0</v>
      </c>
    </row>
    <row r="23" spans="1:7" ht="25.5">
      <c r="A23" s="77" t="s">
        <v>1623</v>
      </c>
      <c r="B23" s="6" t="s">
        <v>307</v>
      </c>
      <c r="C23" s="6" t="s">
        <v>308</v>
      </c>
      <c r="D23" s="9" t="s">
        <v>20</v>
      </c>
      <c r="E23" s="12">
        <v>245.2</v>
      </c>
      <c r="F23" s="12"/>
      <c r="G23" s="12">
        <f t="shared" si="0"/>
        <v>0</v>
      </c>
    </row>
    <row r="24" spans="1:7" ht="25.5">
      <c r="A24" s="77" t="s">
        <v>1624</v>
      </c>
      <c r="B24" s="6" t="s">
        <v>309</v>
      </c>
      <c r="C24" s="6" t="s">
        <v>310</v>
      </c>
      <c r="D24" s="9" t="s">
        <v>20</v>
      </c>
      <c r="E24" s="12">
        <f>(3.8+3.8+4.8)*0.35</f>
        <v>4.339999999999999</v>
      </c>
      <c r="F24" s="12"/>
      <c r="G24" s="12">
        <f t="shared" si="0"/>
        <v>0</v>
      </c>
    </row>
    <row r="25" spans="1:7" ht="25.5">
      <c r="A25" s="77" t="s">
        <v>1625</v>
      </c>
      <c r="B25" s="6" t="s">
        <v>311</v>
      </c>
      <c r="C25" s="6" t="s">
        <v>312</v>
      </c>
      <c r="D25" s="9" t="s">
        <v>20</v>
      </c>
      <c r="E25" s="12">
        <v>245.2</v>
      </c>
      <c r="F25" s="12"/>
      <c r="G25" s="12">
        <f t="shared" si="0"/>
        <v>0</v>
      </c>
    </row>
    <row r="26" spans="1:7" ht="25.5">
      <c r="A26" s="77" t="s">
        <v>1626</v>
      </c>
      <c r="B26" s="6" t="s">
        <v>313</v>
      </c>
      <c r="C26" s="6" t="s">
        <v>314</v>
      </c>
      <c r="D26" s="9" t="s">
        <v>20</v>
      </c>
      <c r="E26" s="12">
        <f>(3.8+3.8+4.8)*0.35</f>
        <v>4.339999999999999</v>
      </c>
      <c r="F26" s="12"/>
      <c r="G26" s="12">
        <f t="shared" si="0"/>
        <v>0</v>
      </c>
    </row>
    <row r="27" spans="1:7" ht="25.5">
      <c r="A27" s="77" t="s">
        <v>1627</v>
      </c>
      <c r="B27" s="6" t="s">
        <v>248</v>
      </c>
      <c r="C27" s="6" t="s">
        <v>315</v>
      </c>
      <c r="D27" s="9" t="s">
        <v>20</v>
      </c>
      <c r="E27" s="12">
        <f>3.3*0.45</f>
        <v>1.4849999999999999</v>
      </c>
      <c r="F27" s="12"/>
      <c r="G27" s="12">
        <f t="shared" si="0"/>
        <v>0</v>
      </c>
    </row>
    <row r="28" spans="1:7">
      <c r="A28" s="77" t="s">
        <v>1628</v>
      </c>
      <c r="B28" s="6" t="s">
        <v>324</v>
      </c>
      <c r="C28" s="6" t="s">
        <v>325</v>
      </c>
      <c r="D28" s="47" t="s">
        <v>20</v>
      </c>
      <c r="E28" s="12">
        <f>245.2+4.34</f>
        <v>249.54</v>
      </c>
      <c r="F28" s="12"/>
      <c r="G28" s="12">
        <f t="shared" si="0"/>
        <v>0</v>
      </c>
    </row>
    <row r="29" spans="1:7" ht="25.5">
      <c r="A29" s="77" t="s">
        <v>2007</v>
      </c>
      <c r="B29" s="6" t="s">
        <v>2058</v>
      </c>
      <c r="C29" s="6" t="s">
        <v>2057</v>
      </c>
      <c r="D29" s="9" t="s">
        <v>20</v>
      </c>
      <c r="E29" s="12">
        <v>245.2</v>
      </c>
      <c r="F29" s="12"/>
      <c r="G29" s="12">
        <f t="shared" si="0"/>
        <v>0</v>
      </c>
    </row>
    <row r="30" spans="1:7" ht="25.5" customHeight="1">
      <c r="A30" s="68">
        <v>3</v>
      </c>
      <c r="B30" s="140" t="s">
        <v>1642</v>
      </c>
      <c r="C30" s="140"/>
      <c r="D30" s="68"/>
      <c r="E30" s="69"/>
      <c r="F30" s="69"/>
      <c r="G30" s="69">
        <f>SUM(G31:G50)</f>
        <v>0</v>
      </c>
    </row>
    <row r="31" spans="1:7" ht="25.5">
      <c r="A31" s="30" t="s">
        <v>148</v>
      </c>
      <c r="B31" s="6" t="s">
        <v>72</v>
      </c>
      <c r="C31" s="6" t="s">
        <v>295</v>
      </c>
      <c r="D31" s="9" t="s">
        <v>162</v>
      </c>
      <c r="E31" s="12">
        <v>1</v>
      </c>
      <c r="F31" s="12"/>
      <c r="G31" s="12">
        <f t="shared" ref="G31:G50" si="1">E31*F31</f>
        <v>0</v>
      </c>
    </row>
    <row r="32" spans="1:7">
      <c r="A32" s="47" t="s">
        <v>153</v>
      </c>
      <c r="B32" s="6" t="s">
        <v>278</v>
      </c>
      <c r="C32" s="6" t="s">
        <v>318</v>
      </c>
      <c r="D32" s="47" t="s">
        <v>20</v>
      </c>
      <c r="E32" s="12">
        <v>155</v>
      </c>
      <c r="F32" s="12"/>
      <c r="G32" s="12">
        <f t="shared" si="1"/>
        <v>0</v>
      </c>
    </row>
    <row r="33" spans="1:7" ht="25.5">
      <c r="A33" s="47" t="s">
        <v>163</v>
      </c>
      <c r="B33" s="6" t="s">
        <v>70</v>
      </c>
      <c r="C33" s="6" t="s">
        <v>71</v>
      </c>
      <c r="D33" s="47" t="s">
        <v>7</v>
      </c>
      <c r="E33" s="12">
        <f>155*0.02</f>
        <v>3.1</v>
      </c>
      <c r="F33" s="12"/>
      <c r="G33" s="12">
        <f t="shared" si="1"/>
        <v>0</v>
      </c>
    </row>
    <row r="34" spans="1:7">
      <c r="A34" s="47" t="s">
        <v>176</v>
      </c>
      <c r="B34" s="6" t="s">
        <v>72</v>
      </c>
      <c r="C34" s="6" t="s">
        <v>73</v>
      </c>
      <c r="D34" s="47" t="s">
        <v>7</v>
      </c>
      <c r="E34" s="12">
        <f>E33</f>
        <v>3.1</v>
      </c>
      <c r="F34" s="12"/>
      <c r="G34" s="12">
        <f t="shared" si="1"/>
        <v>0</v>
      </c>
    </row>
    <row r="35" spans="1:7">
      <c r="A35" s="47" t="s">
        <v>1519</v>
      </c>
      <c r="B35" s="6" t="s">
        <v>1009</v>
      </c>
      <c r="C35" s="6" t="s">
        <v>1860</v>
      </c>
      <c r="D35" s="47" t="s">
        <v>20</v>
      </c>
      <c r="E35" s="12">
        <v>155</v>
      </c>
      <c r="F35" s="12"/>
      <c r="G35" s="12">
        <f t="shared" si="1"/>
        <v>0</v>
      </c>
    </row>
    <row r="36" spans="1:7" ht="25.5">
      <c r="A36" s="47" t="s">
        <v>1520</v>
      </c>
      <c r="B36" s="6" t="s">
        <v>277</v>
      </c>
      <c r="C36" s="6" t="s">
        <v>296</v>
      </c>
      <c r="D36" s="9" t="s">
        <v>20</v>
      </c>
      <c r="E36" s="12">
        <v>155</v>
      </c>
      <c r="F36" s="12"/>
      <c r="G36" s="12">
        <f t="shared" si="1"/>
        <v>0</v>
      </c>
    </row>
    <row r="37" spans="1:7" ht="25.5">
      <c r="A37" s="47" t="s">
        <v>1521</v>
      </c>
      <c r="B37" s="6" t="s">
        <v>297</v>
      </c>
      <c r="C37" s="6" t="s">
        <v>298</v>
      </c>
      <c r="D37" s="9" t="s">
        <v>20</v>
      </c>
      <c r="E37" s="12">
        <v>155</v>
      </c>
      <c r="F37" s="12"/>
      <c r="G37" s="12">
        <f t="shared" si="1"/>
        <v>0</v>
      </c>
    </row>
    <row r="38" spans="1:7" ht="25.5">
      <c r="A38" s="47" t="s">
        <v>1522</v>
      </c>
      <c r="B38" s="6" t="s">
        <v>1009</v>
      </c>
      <c r="C38" s="6" t="s">
        <v>2124</v>
      </c>
      <c r="D38" s="9" t="s">
        <v>20</v>
      </c>
      <c r="E38" s="12">
        <v>155</v>
      </c>
      <c r="F38" s="12"/>
      <c r="G38" s="12">
        <f t="shared" si="1"/>
        <v>0</v>
      </c>
    </row>
    <row r="39" spans="1:7">
      <c r="A39" s="77" t="s">
        <v>1523</v>
      </c>
      <c r="B39" s="6" t="s">
        <v>1009</v>
      </c>
      <c r="C39" s="6" t="s">
        <v>2130</v>
      </c>
      <c r="D39" s="77" t="s">
        <v>20</v>
      </c>
      <c r="E39" s="12">
        <f>E42</f>
        <v>21.349999999999998</v>
      </c>
      <c r="F39" s="12"/>
      <c r="G39" s="12"/>
    </row>
    <row r="40" spans="1:7">
      <c r="A40" s="77" t="s">
        <v>1524</v>
      </c>
      <c r="B40" s="6" t="s">
        <v>316</v>
      </c>
      <c r="C40" s="6" t="s">
        <v>302</v>
      </c>
      <c r="D40" s="9" t="s">
        <v>20</v>
      </c>
      <c r="E40" s="12">
        <v>155</v>
      </c>
      <c r="F40" s="12"/>
      <c r="G40" s="12">
        <f t="shared" si="1"/>
        <v>0</v>
      </c>
    </row>
    <row r="41" spans="1:7">
      <c r="A41" s="77" t="s">
        <v>1525</v>
      </c>
      <c r="B41" s="6" t="s">
        <v>1009</v>
      </c>
      <c r="C41" s="6" t="s">
        <v>2129</v>
      </c>
      <c r="D41" s="77" t="s">
        <v>20</v>
      </c>
      <c r="E41" s="12">
        <f>19.36*2</f>
        <v>38.72</v>
      </c>
      <c r="F41" s="12"/>
      <c r="G41" s="12"/>
    </row>
    <row r="42" spans="1:7">
      <c r="A42" s="77" t="s">
        <v>1526</v>
      </c>
      <c r="B42" s="6" t="s">
        <v>303</v>
      </c>
      <c r="C42" s="6" t="s">
        <v>304</v>
      </c>
      <c r="D42" s="9" t="s">
        <v>20</v>
      </c>
      <c r="E42" s="12">
        <f>61*0.35</f>
        <v>21.349999999999998</v>
      </c>
      <c r="F42" s="12"/>
      <c r="G42" s="12">
        <f t="shared" si="1"/>
        <v>0</v>
      </c>
    </row>
    <row r="43" spans="1:7" ht="25.5">
      <c r="A43" s="77" t="s">
        <v>1527</v>
      </c>
      <c r="B43" s="6" t="s">
        <v>305</v>
      </c>
      <c r="C43" s="6" t="s">
        <v>306</v>
      </c>
      <c r="D43" s="9" t="s">
        <v>93</v>
      </c>
      <c r="E43" s="12">
        <f>61+9+9</f>
        <v>79</v>
      </c>
      <c r="F43" s="12"/>
      <c r="G43" s="12">
        <f t="shared" si="1"/>
        <v>0</v>
      </c>
    </row>
    <row r="44" spans="1:7" ht="25.5">
      <c r="A44" s="77" t="s">
        <v>1528</v>
      </c>
      <c r="B44" s="6" t="s">
        <v>307</v>
      </c>
      <c r="C44" s="6" t="s">
        <v>308</v>
      </c>
      <c r="D44" s="9" t="s">
        <v>20</v>
      </c>
      <c r="E44" s="12">
        <v>155</v>
      </c>
      <c r="F44" s="12"/>
      <c r="G44" s="12">
        <f t="shared" si="1"/>
        <v>0</v>
      </c>
    </row>
    <row r="45" spans="1:7" ht="25.5">
      <c r="A45" s="77" t="s">
        <v>1529</v>
      </c>
      <c r="B45" s="6" t="s">
        <v>309</v>
      </c>
      <c r="C45" s="6" t="s">
        <v>310</v>
      </c>
      <c r="D45" s="9" t="s">
        <v>20</v>
      </c>
      <c r="E45" s="12">
        <f>61*0.35</f>
        <v>21.349999999999998</v>
      </c>
      <c r="F45" s="12"/>
      <c r="G45" s="12">
        <f t="shared" si="1"/>
        <v>0</v>
      </c>
    </row>
    <row r="46" spans="1:7" ht="25.5">
      <c r="A46" s="77" t="s">
        <v>1530</v>
      </c>
      <c r="B46" s="6" t="s">
        <v>311</v>
      </c>
      <c r="C46" s="6" t="s">
        <v>312</v>
      </c>
      <c r="D46" s="9" t="s">
        <v>20</v>
      </c>
      <c r="E46" s="12">
        <v>155</v>
      </c>
      <c r="F46" s="12"/>
      <c r="G46" s="12">
        <f t="shared" si="1"/>
        <v>0</v>
      </c>
    </row>
    <row r="47" spans="1:7" ht="25.5">
      <c r="A47" s="77" t="s">
        <v>1531</v>
      </c>
      <c r="B47" s="6" t="s">
        <v>313</v>
      </c>
      <c r="C47" s="6" t="s">
        <v>314</v>
      </c>
      <c r="D47" s="9" t="s">
        <v>20</v>
      </c>
      <c r="E47" s="12">
        <f>61*0.35</f>
        <v>21.349999999999998</v>
      </c>
      <c r="F47" s="12"/>
      <c r="G47" s="12">
        <f t="shared" si="1"/>
        <v>0</v>
      </c>
    </row>
    <row r="48" spans="1:7" ht="25.5">
      <c r="A48" s="77" t="s">
        <v>1532</v>
      </c>
      <c r="B48" s="6" t="s">
        <v>248</v>
      </c>
      <c r="C48" s="6" t="s">
        <v>315</v>
      </c>
      <c r="D48" s="9" t="s">
        <v>20</v>
      </c>
      <c r="E48" s="12">
        <f>11*0.45</f>
        <v>4.95</v>
      </c>
      <c r="F48" s="12"/>
      <c r="G48" s="12">
        <f t="shared" si="1"/>
        <v>0</v>
      </c>
    </row>
    <row r="49" spans="1:7" ht="18" customHeight="1">
      <c r="A49" s="77" t="s">
        <v>1533</v>
      </c>
      <c r="B49" s="6" t="s">
        <v>324</v>
      </c>
      <c r="C49" s="6" t="s">
        <v>325</v>
      </c>
      <c r="D49" s="47" t="s">
        <v>20</v>
      </c>
      <c r="E49" s="12">
        <f>155+21.35</f>
        <v>176.35</v>
      </c>
      <c r="F49" s="12"/>
      <c r="G49" s="12">
        <f t="shared" si="1"/>
        <v>0</v>
      </c>
    </row>
    <row r="50" spans="1:7" ht="30.75" customHeight="1">
      <c r="A50" s="77" t="s">
        <v>1534</v>
      </c>
      <c r="B50" s="6" t="s">
        <v>2058</v>
      </c>
      <c r="C50" s="6" t="s">
        <v>2057</v>
      </c>
      <c r="D50" s="9" t="s">
        <v>20</v>
      </c>
      <c r="E50" s="12">
        <v>172</v>
      </c>
      <c r="F50" s="12"/>
      <c r="G50" s="12">
        <f t="shared" si="1"/>
        <v>0</v>
      </c>
    </row>
    <row r="51" spans="1:7" ht="25.5" customHeight="1">
      <c r="A51" s="68">
        <v>4</v>
      </c>
      <c r="B51" s="140" t="s">
        <v>1601</v>
      </c>
      <c r="C51" s="140"/>
      <c r="D51" s="68"/>
      <c r="E51" s="69"/>
      <c r="F51" s="69"/>
      <c r="G51" s="69">
        <f>SUM(G52:G58)</f>
        <v>0</v>
      </c>
    </row>
    <row r="52" spans="1:7" ht="38.25">
      <c r="A52" s="30" t="s">
        <v>191</v>
      </c>
      <c r="B52" s="6" t="s">
        <v>327</v>
      </c>
      <c r="C52" s="6" t="s">
        <v>1629</v>
      </c>
      <c r="D52" s="9" t="s">
        <v>20</v>
      </c>
      <c r="E52" s="12">
        <f>20.8*3.02</f>
        <v>62.816000000000003</v>
      </c>
      <c r="F52" s="12"/>
      <c r="G52" s="12">
        <f t="shared" ref="G52:G58" si="2">E52*F52</f>
        <v>0</v>
      </c>
    </row>
    <row r="53" spans="1:7" ht="25.5">
      <c r="A53" s="47" t="s">
        <v>204</v>
      </c>
      <c r="B53" s="6" t="s">
        <v>185</v>
      </c>
      <c r="C53" s="6" t="s">
        <v>186</v>
      </c>
      <c r="D53" s="9" t="s">
        <v>20</v>
      </c>
      <c r="E53" s="12">
        <f>20.8*3.02</f>
        <v>62.816000000000003</v>
      </c>
      <c r="F53" s="12"/>
      <c r="G53" s="12">
        <f t="shared" si="2"/>
        <v>0</v>
      </c>
    </row>
    <row r="54" spans="1:7" ht="38.25">
      <c r="A54" s="47" t="s">
        <v>210</v>
      </c>
      <c r="B54" s="6" t="s">
        <v>327</v>
      </c>
      <c r="C54" s="6" t="s">
        <v>1630</v>
      </c>
      <c r="D54" s="9" t="s">
        <v>20</v>
      </c>
      <c r="E54" s="12">
        <f>21.4*3.02</f>
        <v>64.628</v>
      </c>
      <c r="F54" s="12"/>
      <c r="G54" s="12">
        <f t="shared" si="2"/>
        <v>0</v>
      </c>
    </row>
    <row r="55" spans="1:7" ht="25.5">
      <c r="A55" s="47" t="s">
        <v>212</v>
      </c>
      <c r="B55" s="6" t="s">
        <v>185</v>
      </c>
      <c r="C55" s="6" t="s">
        <v>186</v>
      </c>
      <c r="D55" s="9" t="s">
        <v>20</v>
      </c>
      <c r="E55" s="12">
        <f>21.4*3.02</f>
        <v>64.628</v>
      </c>
      <c r="F55" s="12"/>
      <c r="G55" s="12">
        <f t="shared" si="2"/>
        <v>0</v>
      </c>
    </row>
    <row r="56" spans="1:7" ht="38.25">
      <c r="A56" s="47" t="s">
        <v>1596</v>
      </c>
      <c r="B56" s="6" t="s">
        <v>327</v>
      </c>
      <c r="C56" s="6" t="s">
        <v>1631</v>
      </c>
      <c r="D56" s="9" t="s">
        <v>20</v>
      </c>
      <c r="E56" s="12">
        <f>18.3*0.65</f>
        <v>11.895000000000001</v>
      </c>
      <c r="F56" s="12"/>
      <c r="G56" s="12">
        <f t="shared" si="2"/>
        <v>0</v>
      </c>
    </row>
    <row r="57" spans="1:7">
      <c r="A57" s="77" t="s">
        <v>1597</v>
      </c>
      <c r="B57" s="6" t="s">
        <v>1009</v>
      </c>
      <c r="C57" s="6" t="s">
        <v>2121</v>
      </c>
      <c r="D57" s="77" t="s">
        <v>20</v>
      </c>
      <c r="E57" s="12">
        <f>6*(1.03+1.7*2)*0.3+5*(1.03+1.9*2)*0.3+(1.6+2.2*2)*0.3</f>
        <v>17.018999999999998</v>
      </c>
      <c r="F57" s="12"/>
      <c r="G57" s="12"/>
    </row>
    <row r="58" spans="1:7" ht="25.5">
      <c r="A58" s="77" t="s">
        <v>2120</v>
      </c>
      <c r="B58" s="6" t="s">
        <v>185</v>
      </c>
      <c r="C58" s="6" t="s">
        <v>186</v>
      </c>
      <c r="D58" s="9" t="s">
        <v>20</v>
      </c>
      <c r="E58" s="12">
        <f>18.3*0.65+E57</f>
        <v>28.914000000000001</v>
      </c>
      <c r="F58" s="12"/>
      <c r="G58" s="12">
        <f t="shared" si="2"/>
        <v>0</v>
      </c>
    </row>
    <row r="59" spans="1:7" ht="25.5" customHeight="1">
      <c r="A59" s="70">
        <v>5</v>
      </c>
      <c r="B59" s="141" t="s">
        <v>1861</v>
      </c>
      <c r="C59" s="142"/>
      <c r="D59" s="70"/>
      <c r="E59" s="71"/>
      <c r="F59" s="71"/>
      <c r="G59" s="69">
        <f>SUM(G60,G65,G75)</f>
        <v>0</v>
      </c>
    </row>
    <row r="60" spans="1:7" ht="25.5" customHeight="1">
      <c r="A60" s="62" t="s">
        <v>214</v>
      </c>
      <c r="B60" s="66" t="s">
        <v>96</v>
      </c>
      <c r="C60" s="67"/>
      <c r="D60" s="62"/>
      <c r="E60" s="64"/>
      <c r="F60" s="64"/>
      <c r="G60" s="65">
        <f>SUM(G61:G64)</f>
        <v>0</v>
      </c>
    </row>
    <row r="61" spans="1:7" ht="25.5" customHeight="1">
      <c r="A61" s="34" t="s">
        <v>1366</v>
      </c>
      <c r="B61" s="6" t="s">
        <v>100</v>
      </c>
      <c r="C61" s="6" t="s">
        <v>1580</v>
      </c>
      <c r="D61" s="9" t="s">
        <v>102</v>
      </c>
      <c r="E61" s="12">
        <v>1</v>
      </c>
      <c r="F61" s="12"/>
      <c r="G61" s="12">
        <f>E61*F61</f>
        <v>0</v>
      </c>
    </row>
    <row r="62" spans="1:7" ht="25.5" customHeight="1">
      <c r="A62" s="34" t="s">
        <v>1367</v>
      </c>
      <c r="B62" s="6" t="s">
        <v>149</v>
      </c>
      <c r="C62" s="6" t="s">
        <v>150</v>
      </c>
      <c r="D62" s="9" t="s">
        <v>20</v>
      </c>
      <c r="E62" s="12">
        <f>1.03*1.9*9+1.29*1.9*3+1.03*1.7*12+1*1.43*2+0.92*1.14*2+0.85*1.14*2</f>
        <v>52.873600000000003</v>
      </c>
      <c r="F62" s="12"/>
      <c r="G62" s="12">
        <f>E62*F62</f>
        <v>0</v>
      </c>
    </row>
    <row r="63" spans="1:7" ht="29.25" customHeight="1">
      <c r="A63" s="34" t="s">
        <v>1368</v>
      </c>
      <c r="B63" s="6" t="s">
        <v>70</v>
      </c>
      <c r="C63" s="6" t="s">
        <v>71</v>
      </c>
      <c r="D63" s="9" t="s">
        <v>7</v>
      </c>
      <c r="E63" s="12">
        <f>24.966*0.2</f>
        <v>4.9932000000000007</v>
      </c>
      <c r="F63" s="12"/>
      <c r="G63" s="12">
        <f>E63*F63</f>
        <v>0</v>
      </c>
    </row>
    <row r="64" spans="1:7" ht="18.75" customHeight="1">
      <c r="A64" s="34" t="s">
        <v>1369</v>
      </c>
      <c r="B64" s="6" t="s">
        <v>72</v>
      </c>
      <c r="C64" s="6" t="s">
        <v>73</v>
      </c>
      <c r="D64" s="9" t="s">
        <v>7</v>
      </c>
      <c r="E64" s="12">
        <f>E63</f>
        <v>4.9932000000000007</v>
      </c>
      <c r="F64" s="12"/>
      <c r="G64" s="12">
        <f>E64*F64</f>
        <v>0</v>
      </c>
    </row>
    <row r="65" spans="1:7" ht="25.5" customHeight="1">
      <c r="A65" s="62" t="s">
        <v>215</v>
      </c>
      <c r="B65" s="138" t="s">
        <v>1862</v>
      </c>
      <c r="C65" s="139"/>
      <c r="D65" s="62"/>
      <c r="E65" s="64"/>
      <c r="F65" s="64"/>
      <c r="G65" s="65">
        <f>SUM(G66:G74)</f>
        <v>0</v>
      </c>
    </row>
    <row r="66" spans="1:7" ht="25.5">
      <c r="A66" s="30" t="s">
        <v>1376</v>
      </c>
      <c r="B66" s="6" t="s">
        <v>328</v>
      </c>
      <c r="C66" s="6" t="s">
        <v>329</v>
      </c>
      <c r="D66" s="9" t="s">
        <v>20</v>
      </c>
      <c r="E66" s="12">
        <f>1.03*1.9*3</f>
        <v>5.8709999999999996</v>
      </c>
      <c r="F66" s="12"/>
      <c r="G66" s="12">
        <f t="shared" ref="G66:G74" si="3">E66*F66</f>
        <v>0</v>
      </c>
    </row>
    <row r="67" spans="1:7" ht="38.25">
      <c r="A67" s="47" t="s">
        <v>1377</v>
      </c>
      <c r="B67" s="6" t="s">
        <v>1591</v>
      </c>
      <c r="C67" s="6" t="s">
        <v>1595</v>
      </c>
      <c r="D67" s="30" t="s">
        <v>7</v>
      </c>
      <c r="E67" s="12">
        <f>1.03*1.9*6</f>
        <v>11.741999999999999</v>
      </c>
      <c r="F67" s="12"/>
      <c r="G67" s="12">
        <f t="shared" si="3"/>
        <v>0</v>
      </c>
    </row>
    <row r="68" spans="1:7" ht="25.5">
      <c r="A68" s="47" t="s">
        <v>1378</v>
      </c>
      <c r="B68" s="6" t="s">
        <v>328</v>
      </c>
      <c r="C68" s="6" t="s">
        <v>330</v>
      </c>
      <c r="D68" s="9" t="s">
        <v>20</v>
      </c>
      <c r="E68" s="12">
        <f>1.03*1.9*1</f>
        <v>1.9569999999999999</v>
      </c>
      <c r="F68" s="12"/>
      <c r="G68" s="12">
        <f t="shared" si="3"/>
        <v>0</v>
      </c>
    </row>
    <row r="69" spans="1:7" ht="25.5">
      <c r="A69" s="47" t="s">
        <v>1379</v>
      </c>
      <c r="B69" s="6" t="s">
        <v>328</v>
      </c>
      <c r="C69" s="6" t="s">
        <v>331</v>
      </c>
      <c r="D69" s="9" t="s">
        <v>20</v>
      </c>
      <c r="E69" s="12">
        <f>1.03*1.7*5</f>
        <v>8.754999999999999</v>
      </c>
      <c r="F69" s="12"/>
      <c r="G69" s="12">
        <f t="shared" si="3"/>
        <v>0</v>
      </c>
    </row>
    <row r="70" spans="1:7" ht="38.25">
      <c r="A70" s="47" t="s">
        <v>1380</v>
      </c>
      <c r="B70" s="6" t="s">
        <v>1591</v>
      </c>
      <c r="C70" s="6" t="s">
        <v>1594</v>
      </c>
      <c r="D70" s="30" t="s">
        <v>7</v>
      </c>
      <c r="E70" s="12">
        <f>1.03*1.7*7</f>
        <v>12.257</v>
      </c>
      <c r="F70" s="12"/>
      <c r="G70" s="12">
        <f t="shared" si="3"/>
        <v>0</v>
      </c>
    </row>
    <row r="71" spans="1:7" ht="38.25">
      <c r="A71" s="47" t="s">
        <v>1381</v>
      </c>
      <c r="B71" s="6" t="s">
        <v>328</v>
      </c>
      <c r="C71" s="6" t="s">
        <v>1592</v>
      </c>
      <c r="D71" s="9" t="s">
        <v>20</v>
      </c>
      <c r="E71" s="12">
        <f>0.92*1.14*2</f>
        <v>2.0975999999999999</v>
      </c>
      <c r="F71" s="12"/>
      <c r="G71" s="12">
        <f t="shared" si="3"/>
        <v>0</v>
      </c>
    </row>
    <row r="72" spans="1:7" ht="38.25">
      <c r="A72" s="47" t="s">
        <v>1382</v>
      </c>
      <c r="B72" s="6" t="s">
        <v>328</v>
      </c>
      <c r="C72" s="6" t="s">
        <v>1593</v>
      </c>
      <c r="D72" s="9" t="s">
        <v>20</v>
      </c>
      <c r="E72" s="12">
        <f>0.85*1.14*2</f>
        <v>1.9379999999999997</v>
      </c>
      <c r="F72" s="12"/>
      <c r="G72" s="12">
        <f t="shared" si="3"/>
        <v>0</v>
      </c>
    </row>
    <row r="73" spans="1:7" ht="25.5">
      <c r="A73" s="47" t="s">
        <v>1383</v>
      </c>
      <c r="B73" s="6" t="s">
        <v>328</v>
      </c>
      <c r="C73" s="6" t="s">
        <v>332</v>
      </c>
      <c r="D73" s="9" t="s">
        <v>20</v>
      </c>
      <c r="E73" s="12">
        <f>1*1.43*2</f>
        <v>2.86</v>
      </c>
      <c r="F73" s="12"/>
      <c r="G73" s="12">
        <f t="shared" si="3"/>
        <v>0</v>
      </c>
    </row>
    <row r="74" spans="1:7" ht="25.5">
      <c r="A74" s="47" t="s">
        <v>1384</v>
      </c>
      <c r="B74" s="6" t="s">
        <v>177</v>
      </c>
      <c r="C74" s="6" t="s">
        <v>1632</v>
      </c>
      <c r="D74" s="9" t="s">
        <v>93</v>
      </c>
      <c r="E74" s="12">
        <f>1.1*4+1.2*24</f>
        <v>33.199999999999996</v>
      </c>
      <c r="F74" s="12"/>
      <c r="G74" s="12">
        <f t="shared" si="3"/>
        <v>0</v>
      </c>
    </row>
    <row r="75" spans="1:7" ht="22.5" customHeight="1">
      <c r="A75" s="62" t="s">
        <v>216</v>
      </c>
      <c r="B75" s="138" t="s">
        <v>1863</v>
      </c>
      <c r="C75" s="139"/>
      <c r="D75" s="62"/>
      <c r="E75" s="64"/>
      <c r="F75" s="64"/>
      <c r="G75" s="65">
        <f>SUM(G76:G77)</f>
        <v>0</v>
      </c>
    </row>
    <row r="76" spans="1:7" ht="25.5">
      <c r="A76" s="30" t="s">
        <v>1388</v>
      </c>
      <c r="B76" s="6" t="s">
        <v>340</v>
      </c>
      <c r="C76" s="6" t="s">
        <v>1583</v>
      </c>
      <c r="D76" s="9" t="s">
        <v>20</v>
      </c>
      <c r="E76" s="12">
        <f>1.8*2.8*1</f>
        <v>5.04</v>
      </c>
      <c r="F76" s="12"/>
      <c r="G76" s="12">
        <f>E76*F76</f>
        <v>0</v>
      </c>
    </row>
    <row r="77" spans="1:7" ht="25.5">
      <c r="A77" s="47" t="s">
        <v>1389</v>
      </c>
      <c r="B77" s="6" t="s">
        <v>340</v>
      </c>
      <c r="C77" s="6" t="s">
        <v>1584</v>
      </c>
      <c r="D77" s="9" t="s">
        <v>20</v>
      </c>
      <c r="E77" s="12">
        <f>1.3*3*1</f>
        <v>3.9000000000000004</v>
      </c>
      <c r="F77" s="12"/>
      <c r="G77" s="12">
        <f>E77*F77</f>
        <v>0</v>
      </c>
    </row>
    <row r="78" spans="1:7" ht="21.75" customHeight="1">
      <c r="A78" s="68">
        <v>6</v>
      </c>
      <c r="B78" s="141" t="s">
        <v>1602</v>
      </c>
      <c r="C78" s="142"/>
      <c r="D78" s="68"/>
      <c r="E78" s="69"/>
      <c r="F78" s="69"/>
      <c r="G78" s="69">
        <f>SUM(G79,G86,G93)</f>
        <v>0</v>
      </c>
    </row>
    <row r="79" spans="1:7">
      <c r="A79" s="61" t="s">
        <v>221</v>
      </c>
      <c r="B79" s="66" t="s">
        <v>96</v>
      </c>
      <c r="C79" s="67"/>
      <c r="D79" s="61"/>
      <c r="E79" s="65"/>
      <c r="F79" s="65"/>
      <c r="G79" s="65">
        <f>SUM(G80:G85)</f>
        <v>0</v>
      </c>
    </row>
    <row r="80" spans="1:7" ht="25.5">
      <c r="A80" s="30" t="s">
        <v>1619</v>
      </c>
      <c r="B80" s="33" t="s">
        <v>103</v>
      </c>
      <c r="C80" s="33" t="s">
        <v>104</v>
      </c>
      <c r="D80" s="34" t="s">
        <v>7</v>
      </c>
      <c r="E80" s="35">
        <f>(72.65+73.18)*0.2</f>
        <v>29.166000000000004</v>
      </c>
      <c r="F80" s="12"/>
      <c r="G80" s="12">
        <f t="shared" ref="G80:G85" si="4">E80*F80</f>
        <v>0</v>
      </c>
    </row>
    <row r="81" spans="1:7" ht="25.5">
      <c r="A81" s="47" t="s">
        <v>1404</v>
      </c>
      <c r="B81" s="33" t="s">
        <v>70</v>
      </c>
      <c r="C81" s="33" t="s">
        <v>71</v>
      </c>
      <c r="D81" s="34" t="s">
        <v>7</v>
      </c>
      <c r="E81" s="35">
        <f>E80</f>
        <v>29.166000000000004</v>
      </c>
      <c r="F81" s="12"/>
      <c r="G81" s="12">
        <f t="shared" si="4"/>
        <v>0</v>
      </c>
    </row>
    <row r="82" spans="1:7">
      <c r="A82" s="47" t="s">
        <v>1405</v>
      </c>
      <c r="B82" s="33" t="s">
        <v>72</v>
      </c>
      <c r="C82" s="33" t="s">
        <v>73</v>
      </c>
      <c r="D82" s="34" t="s">
        <v>7</v>
      </c>
      <c r="E82" s="35">
        <f>E80</f>
        <v>29.166000000000004</v>
      </c>
      <c r="F82" s="12"/>
      <c r="G82" s="12">
        <f t="shared" si="4"/>
        <v>0</v>
      </c>
    </row>
    <row r="83" spans="1:7" ht="25.5">
      <c r="A83" s="47" t="s">
        <v>1406</v>
      </c>
      <c r="B83" s="6" t="s">
        <v>105</v>
      </c>
      <c r="C83" s="6" t="s">
        <v>106</v>
      </c>
      <c r="D83" s="30" t="s">
        <v>7</v>
      </c>
      <c r="E83" s="12">
        <f>(73.18+72.65)*0.15</f>
        <v>21.874500000000001</v>
      </c>
      <c r="F83" s="12"/>
      <c r="G83" s="12">
        <f t="shared" si="4"/>
        <v>0</v>
      </c>
    </row>
    <row r="84" spans="1:7" ht="15.75" customHeight="1">
      <c r="A84" s="47" t="s">
        <v>1407</v>
      </c>
      <c r="B84" s="6" t="s">
        <v>107</v>
      </c>
      <c r="C84" s="6" t="s">
        <v>1603</v>
      </c>
      <c r="D84" s="30" t="s">
        <v>7</v>
      </c>
      <c r="E84" s="12">
        <f>E83</f>
        <v>21.874500000000001</v>
      </c>
      <c r="F84" s="12"/>
      <c r="G84" s="12">
        <f t="shared" si="4"/>
        <v>0</v>
      </c>
    </row>
    <row r="85" spans="1:7" ht="18" customHeight="1">
      <c r="A85" s="47" t="s">
        <v>1408</v>
      </c>
      <c r="B85" s="6" t="s">
        <v>72</v>
      </c>
      <c r="C85" s="6" t="s">
        <v>1604</v>
      </c>
      <c r="D85" s="30" t="s">
        <v>7</v>
      </c>
      <c r="E85" s="12">
        <f>E84</f>
        <v>21.874500000000001</v>
      </c>
      <c r="F85" s="12"/>
      <c r="G85" s="12">
        <f t="shared" si="4"/>
        <v>0</v>
      </c>
    </row>
    <row r="86" spans="1:7" ht="23.25" customHeight="1">
      <c r="A86" s="61" t="s">
        <v>685</v>
      </c>
      <c r="B86" s="138" t="s">
        <v>1864</v>
      </c>
      <c r="C86" s="139"/>
      <c r="D86" s="62"/>
      <c r="E86" s="64"/>
      <c r="F86" s="64"/>
      <c r="G86" s="65">
        <f>SUM(G87:G92)</f>
        <v>0</v>
      </c>
    </row>
    <row r="87" spans="1:7" ht="25.5">
      <c r="A87" s="47" t="s">
        <v>1549</v>
      </c>
      <c r="B87" s="33" t="s">
        <v>112</v>
      </c>
      <c r="C87" s="33" t="s">
        <v>113</v>
      </c>
      <c r="D87" s="34" t="s">
        <v>7</v>
      </c>
      <c r="E87" s="35">
        <f>(71.39+66.75)*0.15</f>
        <v>20.720999999999997</v>
      </c>
      <c r="F87" s="35"/>
      <c r="G87" s="35">
        <f t="shared" ref="G87:G92" si="5">E87*F87</f>
        <v>0</v>
      </c>
    </row>
    <row r="88" spans="1:7" ht="25.5">
      <c r="A88" s="47" t="s">
        <v>1550</v>
      </c>
      <c r="B88" s="33" t="s">
        <v>114</v>
      </c>
      <c r="C88" s="33" t="s">
        <v>1605</v>
      </c>
      <c r="D88" s="34" t="s">
        <v>7</v>
      </c>
      <c r="E88" s="35">
        <f>(71.39+66.75)*0.05</f>
        <v>6.907</v>
      </c>
      <c r="F88" s="35"/>
      <c r="G88" s="35">
        <f t="shared" si="5"/>
        <v>0</v>
      </c>
    </row>
    <row r="89" spans="1:7" ht="38.25">
      <c r="A89" s="47" t="s">
        <v>1551</v>
      </c>
      <c r="B89" s="6" t="s">
        <v>1009</v>
      </c>
      <c r="C89" s="6" t="s">
        <v>2128</v>
      </c>
      <c r="D89" s="30" t="s">
        <v>20</v>
      </c>
      <c r="E89" s="16">
        <f>71.39+66.75</f>
        <v>138.13999999999999</v>
      </c>
      <c r="F89" s="12"/>
      <c r="G89" s="12">
        <f t="shared" si="5"/>
        <v>0</v>
      </c>
    </row>
    <row r="90" spans="1:7" ht="38.25">
      <c r="A90" s="47" t="s">
        <v>1552</v>
      </c>
      <c r="B90" s="33" t="s">
        <v>115</v>
      </c>
      <c r="C90" s="33" t="s">
        <v>2126</v>
      </c>
      <c r="D90" s="34" t="s">
        <v>20</v>
      </c>
      <c r="E90" s="36">
        <f>E89</f>
        <v>138.13999999999999</v>
      </c>
      <c r="F90" s="35"/>
      <c r="G90" s="35">
        <f t="shared" si="5"/>
        <v>0</v>
      </c>
    </row>
    <row r="91" spans="1:7" ht="25.5">
      <c r="A91" s="47" t="s">
        <v>1553</v>
      </c>
      <c r="B91" s="33" t="s">
        <v>116</v>
      </c>
      <c r="C91" s="33" t="s">
        <v>117</v>
      </c>
      <c r="D91" s="34" t="s">
        <v>20</v>
      </c>
      <c r="E91" s="35">
        <f>E90</f>
        <v>138.13999999999999</v>
      </c>
      <c r="F91" s="35"/>
      <c r="G91" s="35">
        <f t="shared" si="5"/>
        <v>0</v>
      </c>
    </row>
    <row r="92" spans="1:7" ht="27.75" customHeight="1">
      <c r="A92" s="47" t="s">
        <v>1554</v>
      </c>
      <c r="B92" s="33" t="s">
        <v>1639</v>
      </c>
      <c r="C92" s="46" t="s">
        <v>2125</v>
      </c>
      <c r="D92" s="34" t="s">
        <v>20</v>
      </c>
      <c r="E92" s="35">
        <f>E91</f>
        <v>138.13999999999999</v>
      </c>
      <c r="F92" s="35"/>
      <c r="G92" s="35">
        <f t="shared" si="5"/>
        <v>0</v>
      </c>
    </row>
    <row r="93" spans="1:7" ht="18.75" customHeight="1">
      <c r="A93" s="61" t="s">
        <v>802</v>
      </c>
      <c r="B93" s="138" t="s">
        <v>1606</v>
      </c>
      <c r="C93" s="139"/>
      <c r="D93" s="62"/>
      <c r="E93" s="63"/>
      <c r="F93" s="64"/>
      <c r="G93" s="65">
        <f>SUM(G94:G98)</f>
        <v>0</v>
      </c>
    </row>
    <row r="94" spans="1:7" ht="25.5">
      <c r="A94" s="47" t="s">
        <v>1555</v>
      </c>
      <c r="B94" s="33" t="s">
        <v>114</v>
      </c>
      <c r="C94" s="33" t="s">
        <v>1605</v>
      </c>
      <c r="D94" s="34" t="s">
        <v>7</v>
      </c>
      <c r="E94" s="35">
        <f>(37.5)*0.05</f>
        <v>1.875</v>
      </c>
      <c r="F94" s="35"/>
      <c r="G94" s="35">
        <f>E94*F94</f>
        <v>0</v>
      </c>
    </row>
    <row r="95" spans="1:7" ht="25.5">
      <c r="A95" s="47" t="s">
        <v>1556</v>
      </c>
      <c r="B95" s="6" t="s">
        <v>1009</v>
      </c>
      <c r="C95" s="6" t="s">
        <v>1873</v>
      </c>
      <c r="D95" s="30" t="s">
        <v>20</v>
      </c>
      <c r="E95" s="16">
        <v>37.5</v>
      </c>
      <c r="F95" s="12"/>
      <c r="G95" s="12">
        <f>E95*F95</f>
        <v>0</v>
      </c>
    </row>
    <row r="96" spans="1:7" ht="38.25">
      <c r="A96" s="47" t="s">
        <v>1557</v>
      </c>
      <c r="B96" s="33" t="s">
        <v>115</v>
      </c>
      <c r="C96" s="33" t="s">
        <v>2127</v>
      </c>
      <c r="D96" s="34" t="s">
        <v>20</v>
      </c>
      <c r="E96" s="36">
        <f>E95</f>
        <v>37.5</v>
      </c>
      <c r="F96" s="35"/>
      <c r="G96" s="35">
        <f>E96*F96</f>
        <v>0</v>
      </c>
    </row>
    <row r="97" spans="1:7" ht="25.5">
      <c r="A97" s="47" t="s">
        <v>1558</v>
      </c>
      <c r="B97" s="33" t="s">
        <v>116</v>
      </c>
      <c r="C97" s="33" t="s">
        <v>117</v>
      </c>
      <c r="D97" s="34" t="s">
        <v>20</v>
      </c>
      <c r="E97" s="35">
        <f>E96</f>
        <v>37.5</v>
      </c>
      <c r="F97" s="35"/>
      <c r="G97" s="35">
        <f>E97*F97</f>
        <v>0</v>
      </c>
    </row>
    <row r="98" spans="1:7" ht="25.5">
      <c r="A98" s="47" t="s">
        <v>1559</v>
      </c>
      <c r="B98" s="33" t="s">
        <v>1639</v>
      </c>
      <c r="C98" s="46" t="s">
        <v>1640</v>
      </c>
      <c r="D98" s="34" t="s">
        <v>20</v>
      </c>
      <c r="E98" s="35">
        <f>E97</f>
        <v>37.5</v>
      </c>
      <c r="F98" s="35"/>
      <c r="G98" s="35">
        <f>E98*F98</f>
        <v>0</v>
      </c>
    </row>
    <row r="99" spans="1:7" ht="23.25" customHeight="1">
      <c r="A99" s="150" t="s">
        <v>1882</v>
      </c>
      <c r="B99" s="151"/>
      <c r="C99" s="152"/>
      <c r="D99" s="79"/>
      <c r="E99" s="80"/>
      <c r="F99" s="81"/>
      <c r="G99" s="80">
        <f>SUM(G100,G170,G208)</f>
        <v>0</v>
      </c>
    </row>
    <row r="100" spans="1:7" ht="15">
      <c r="A100" s="37">
        <v>1</v>
      </c>
      <c r="B100" s="38" t="s">
        <v>396</v>
      </c>
      <c r="C100" s="38"/>
      <c r="D100" s="37"/>
      <c r="E100" s="39"/>
      <c r="F100" s="39"/>
      <c r="G100" s="40">
        <f>SUM(G101,G163)</f>
        <v>0</v>
      </c>
    </row>
    <row r="101" spans="1:7" ht="15">
      <c r="A101" s="78" t="s">
        <v>380</v>
      </c>
      <c r="B101" s="153" t="s">
        <v>399</v>
      </c>
      <c r="C101" s="154"/>
      <c r="D101" s="78"/>
      <c r="E101" s="13"/>
      <c r="F101" s="13"/>
      <c r="G101" s="20">
        <f>SUM(G102:G162)</f>
        <v>0</v>
      </c>
    </row>
    <row r="102" spans="1:7" ht="25.5">
      <c r="A102" s="77" t="s">
        <v>1536</v>
      </c>
      <c r="B102" s="6" t="s">
        <v>400</v>
      </c>
      <c r="C102" s="6" t="s">
        <v>1922</v>
      </c>
      <c r="D102" s="77" t="s">
        <v>401</v>
      </c>
      <c r="E102" s="12">
        <v>1</v>
      </c>
      <c r="F102" s="12"/>
      <c r="G102" s="21">
        <f t="shared" ref="G102:G133" si="6">E102*F102</f>
        <v>0</v>
      </c>
    </row>
    <row r="103" spans="1:7" ht="25.5">
      <c r="A103" s="77" t="s">
        <v>1659</v>
      </c>
      <c r="B103" s="6" t="s">
        <v>400</v>
      </c>
      <c r="C103" s="6" t="s">
        <v>402</v>
      </c>
      <c r="D103" s="77" t="s">
        <v>401</v>
      </c>
      <c r="E103" s="12">
        <v>1</v>
      </c>
      <c r="F103" s="12"/>
      <c r="G103" s="21">
        <f t="shared" si="6"/>
        <v>0</v>
      </c>
    </row>
    <row r="104" spans="1:7" ht="25.5">
      <c r="A104" s="77" t="s">
        <v>1660</v>
      </c>
      <c r="B104" s="6" t="s">
        <v>403</v>
      </c>
      <c r="C104" s="6" t="s">
        <v>404</v>
      </c>
      <c r="D104" s="77" t="s">
        <v>405</v>
      </c>
      <c r="E104" s="12">
        <v>1</v>
      </c>
      <c r="F104" s="12"/>
      <c r="G104" s="21">
        <f t="shared" si="6"/>
        <v>0</v>
      </c>
    </row>
    <row r="105" spans="1:7" ht="25.5">
      <c r="A105" s="77" t="s">
        <v>1661</v>
      </c>
      <c r="B105" s="6" t="s">
        <v>72</v>
      </c>
      <c r="C105" s="6" t="s">
        <v>1943</v>
      </c>
      <c r="D105" s="77" t="s">
        <v>162</v>
      </c>
      <c r="E105" s="12">
        <v>1</v>
      </c>
      <c r="F105" s="12"/>
      <c r="G105" s="21">
        <f t="shared" si="6"/>
        <v>0</v>
      </c>
    </row>
    <row r="106" spans="1:7" ht="15">
      <c r="A106" s="77" t="s">
        <v>1662</v>
      </c>
      <c r="B106" s="6" t="s">
        <v>406</v>
      </c>
      <c r="C106" s="6" t="s">
        <v>407</v>
      </c>
      <c r="D106" s="77" t="s">
        <v>334</v>
      </c>
      <c r="E106" s="12">
        <v>1</v>
      </c>
      <c r="F106" s="12"/>
      <c r="G106" s="21">
        <f t="shared" si="6"/>
        <v>0</v>
      </c>
    </row>
    <row r="107" spans="1:7" ht="15">
      <c r="A107" s="77" t="s">
        <v>1663</v>
      </c>
      <c r="B107" s="6" t="s">
        <v>408</v>
      </c>
      <c r="C107" s="6" t="s">
        <v>409</v>
      </c>
      <c r="D107" s="77" t="s">
        <v>102</v>
      </c>
      <c r="E107" s="12">
        <v>1</v>
      </c>
      <c r="F107" s="12"/>
      <c r="G107" s="21">
        <f t="shared" si="6"/>
        <v>0</v>
      </c>
    </row>
    <row r="108" spans="1:7" ht="25.5">
      <c r="A108" s="77" t="s">
        <v>1664</v>
      </c>
      <c r="B108" s="6" t="s">
        <v>410</v>
      </c>
      <c r="C108" s="6" t="s">
        <v>411</v>
      </c>
      <c r="D108" s="77" t="s">
        <v>102</v>
      </c>
      <c r="E108" s="12">
        <v>1</v>
      </c>
      <c r="F108" s="12"/>
      <c r="G108" s="21">
        <f t="shared" si="6"/>
        <v>0</v>
      </c>
    </row>
    <row r="109" spans="1:7" ht="15">
      <c r="A109" s="77" t="s">
        <v>1665</v>
      </c>
      <c r="B109" s="6" t="s">
        <v>406</v>
      </c>
      <c r="C109" s="6" t="s">
        <v>412</v>
      </c>
      <c r="D109" s="77" t="s">
        <v>334</v>
      </c>
      <c r="E109" s="12">
        <v>2</v>
      </c>
      <c r="F109" s="12"/>
      <c r="G109" s="21">
        <f t="shared" si="6"/>
        <v>0</v>
      </c>
    </row>
    <row r="110" spans="1:7" ht="25.5">
      <c r="A110" s="77" t="s">
        <v>1666</v>
      </c>
      <c r="B110" s="6" t="s">
        <v>413</v>
      </c>
      <c r="C110" s="6" t="s">
        <v>414</v>
      </c>
      <c r="D110" s="77" t="s">
        <v>102</v>
      </c>
      <c r="E110" s="12">
        <v>1</v>
      </c>
      <c r="F110" s="12"/>
      <c r="G110" s="21">
        <f t="shared" si="6"/>
        <v>0</v>
      </c>
    </row>
    <row r="111" spans="1:7" ht="15">
      <c r="A111" s="77" t="s">
        <v>1667</v>
      </c>
      <c r="B111" s="6" t="s">
        <v>406</v>
      </c>
      <c r="C111" s="6" t="s">
        <v>415</v>
      </c>
      <c r="D111" s="77" t="s">
        <v>334</v>
      </c>
      <c r="E111" s="12">
        <v>2</v>
      </c>
      <c r="F111" s="12"/>
      <c r="G111" s="21">
        <f t="shared" si="6"/>
        <v>0</v>
      </c>
    </row>
    <row r="112" spans="1:7" ht="15">
      <c r="A112" s="77" t="s">
        <v>1668</v>
      </c>
      <c r="B112" s="6" t="s">
        <v>406</v>
      </c>
      <c r="C112" s="6" t="s">
        <v>416</v>
      </c>
      <c r="D112" s="77" t="s">
        <v>334</v>
      </c>
      <c r="E112" s="12">
        <v>1</v>
      </c>
      <c r="F112" s="12"/>
      <c r="G112" s="21">
        <f t="shared" si="6"/>
        <v>0</v>
      </c>
    </row>
    <row r="113" spans="1:7" ht="15">
      <c r="A113" s="77" t="s">
        <v>1669</v>
      </c>
      <c r="B113" s="6" t="s">
        <v>417</v>
      </c>
      <c r="C113" s="6" t="s">
        <v>418</v>
      </c>
      <c r="D113" s="77" t="s">
        <v>102</v>
      </c>
      <c r="E113" s="12">
        <v>1</v>
      </c>
      <c r="F113" s="12"/>
      <c r="G113" s="21">
        <f t="shared" si="6"/>
        <v>0</v>
      </c>
    </row>
    <row r="114" spans="1:7" ht="15">
      <c r="A114" s="77" t="s">
        <v>1670</v>
      </c>
      <c r="B114" s="6" t="s">
        <v>408</v>
      </c>
      <c r="C114" s="6" t="s">
        <v>419</v>
      </c>
      <c r="D114" s="77" t="s">
        <v>102</v>
      </c>
      <c r="E114" s="12">
        <v>1</v>
      </c>
      <c r="F114" s="12"/>
      <c r="G114" s="21">
        <f t="shared" si="6"/>
        <v>0</v>
      </c>
    </row>
    <row r="115" spans="1:7" ht="15">
      <c r="A115" s="77" t="s">
        <v>1671</v>
      </c>
      <c r="B115" s="6" t="s">
        <v>72</v>
      </c>
      <c r="C115" s="6" t="s">
        <v>1607</v>
      </c>
      <c r="D115" s="77" t="s">
        <v>102</v>
      </c>
      <c r="E115" s="12">
        <v>1</v>
      </c>
      <c r="F115" s="12"/>
      <c r="G115" s="21">
        <f t="shared" si="6"/>
        <v>0</v>
      </c>
    </row>
    <row r="116" spans="1:7" ht="15">
      <c r="A116" s="77" t="s">
        <v>1672</v>
      </c>
      <c r="B116" s="6" t="s">
        <v>420</v>
      </c>
      <c r="C116" s="6" t="s">
        <v>421</v>
      </c>
      <c r="D116" s="77" t="s">
        <v>102</v>
      </c>
      <c r="E116" s="12">
        <v>1</v>
      </c>
      <c r="F116" s="12"/>
      <c r="G116" s="21">
        <f t="shared" si="6"/>
        <v>0</v>
      </c>
    </row>
    <row r="117" spans="1:7" ht="15">
      <c r="A117" s="77" t="s">
        <v>1802</v>
      </c>
      <c r="B117" s="6" t="s">
        <v>422</v>
      </c>
      <c r="C117" s="6" t="s">
        <v>423</v>
      </c>
      <c r="D117" s="77" t="s">
        <v>102</v>
      </c>
      <c r="E117" s="12">
        <v>1</v>
      </c>
      <c r="F117" s="12"/>
      <c r="G117" s="21">
        <f t="shared" si="6"/>
        <v>0</v>
      </c>
    </row>
    <row r="118" spans="1:7" ht="15">
      <c r="A118" s="77" t="s">
        <v>1803</v>
      </c>
      <c r="B118" s="6" t="s">
        <v>424</v>
      </c>
      <c r="C118" s="6" t="s">
        <v>425</v>
      </c>
      <c r="D118" s="77" t="s">
        <v>102</v>
      </c>
      <c r="E118" s="12">
        <v>10</v>
      </c>
      <c r="F118" s="12"/>
      <c r="G118" s="21">
        <f t="shared" si="6"/>
        <v>0</v>
      </c>
    </row>
    <row r="119" spans="1:7" ht="15">
      <c r="A119" s="77" t="s">
        <v>1804</v>
      </c>
      <c r="B119" s="6" t="s">
        <v>424</v>
      </c>
      <c r="C119" s="6" t="s">
        <v>426</v>
      </c>
      <c r="D119" s="77" t="s">
        <v>102</v>
      </c>
      <c r="E119" s="12">
        <v>2</v>
      </c>
      <c r="F119" s="12"/>
      <c r="G119" s="21">
        <f t="shared" si="6"/>
        <v>0</v>
      </c>
    </row>
    <row r="120" spans="1:7" ht="15">
      <c r="A120" s="77" t="s">
        <v>1805</v>
      </c>
      <c r="B120" s="6" t="s">
        <v>424</v>
      </c>
      <c r="C120" s="6" t="s">
        <v>427</v>
      </c>
      <c r="D120" s="77" t="s">
        <v>102</v>
      </c>
      <c r="E120" s="12">
        <v>2</v>
      </c>
      <c r="F120" s="12"/>
      <c r="G120" s="21">
        <f t="shared" si="6"/>
        <v>0</v>
      </c>
    </row>
    <row r="121" spans="1:7" ht="15">
      <c r="A121" s="77" t="s">
        <v>1806</v>
      </c>
      <c r="B121" s="6" t="s">
        <v>428</v>
      </c>
      <c r="C121" s="6" t="s">
        <v>429</v>
      </c>
      <c r="D121" s="77" t="s">
        <v>102</v>
      </c>
      <c r="E121" s="12">
        <v>10</v>
      </c>
      <c r="F121" s="12"/>
      <c r="G121" s="21">
        <f t="shared" si="6"/>
        <v>0</v>
      </c>
    </row>
    <row r="122" spans="1:7" ht="15">
      <c r="A122" s="77" t="s">
        <v>1807</v>
      </c>
      <c r="B122" s="6" t="s">
        <v>428</v>
      </c>
      <c r="C122" s="6" t="s">
        <v>430</v>
      </c>
      <c r="D122" s="77" t="s">
        <v>102</v>
      </c>
      <c r="E122" s="12">
        <v>2</v>
      </c>
      <c r="F122" s="12"/>
      <c r="G122" s="21">
        <f t="shared" si="6"/>
        <v>0</v>
      </c>
    </row>
    <row r="123" spans="1:7" ht="15">
      <c r="A123" s="77" t="s">
        <v>1808</v>
      </c>
      <c r="B123" s="6" t="s">
        <v>428</v>
      </c>
      <c r="C123" s="6" t="s">
        <v>431</v>
      </c>
      <c r="D123" s="77" t="s">
        <v>102</v>
      </c>
      <c r="E123" s="12">
        <v>2</v>
      </c>
      <c r="F123" s="12"/>
      <c r="G123" s="21">
        <f t="shared" si="6"/>
        <v>0</v>
      </c>
    </row>
    <row r="124" spans="1:7" ht="15">
      <c r="A124" s="77" t="s">
        <v>1809</v>
      </c>
      <c r="B124" s="6" t="s">
        <v>432</v>
      </c>
      <c r="C124" s="6" t="s">
        <v>433</v>
      </c>
      <c r="D124" s="77" t="s">
        <v>334</v>
      </c>
      <c r="E124" s="12">
        <v>2</v>
      </c>
      <c r="F124" s="12"/>
      <c r="G124" s="21">
        <f t="shared" si="6"/>
        <v>0</v>
      </c>
    </row>
    <row r="125" spans="1:7" ht="15">
      <c r="A125" s="77" t="s">
        <v>1810</v>
      </c>
      <c r="B125" s="6" t="s">
        <v>428</v>
      </c>
      <c r="C125" s="6" t="s">
        <v>429</v>
      </c>
      <c r="D125" s="77" t="s">
        <v>102</v>
      </c>
      <c r="E125" s="12">
        <v>2</v>
      </c>
      <c r="F125" s="12"/>
      <c r="G125" s="21">
        <f t="shared" si="6"/>
        <v>0</v>
      </c>
    </row>
    <row r="126" spans="1:7" ht="25.5">
      <c r="A126" s="77" t="s">
        <v>1811</v>
      </c>
      <c r="B126" s="6" t="s">
        <v>434</v>
      </c>
      <c r="C126" s="6" t="s">
        <v>435</v>
      </c>
      <c r="D126" s="77" t="s">
        <v>334</v>
      </c>
      <c r="E126" s="12">
        <v>1</v>
      </c>
      <c r="F126" s="12"/>
      <c r="G126" s="21">
        <f t="shared" si="6"/>
        <v>0</v>
      </c>
    </row>
    <row r="127" spans="1:7" ht="15">
      <c r="A127" s="77" t="s">
        <v>1812</v>
      </c>
      <c r="B127" s="6" t="s">
        <v>436</v>
      </c>
      <c r="C127" s="6" t="s">
        <v>437</v>
      </c>
      <c r="D127" s="77" t="s">
        <v>102</v>
      </c>
      <c r="E127" s="12">
        <v>4</v>
      </c>
      <c r="F127" s="12"/>
      <c r="G127" s="21">
        <f t="shared" si="6"/>
        <v>0</v>
      </c>
    </row>
    <row r="128" spans="1:7" ht="15">
      <c r="A128" s="77" t="s">
        <v>1813</v>
      </c>
      <c r="B128" s="6" t="s">
        <v>436</v>
      </c>
      <c r="C128" s="6" t="s">
        <v>438</v>
      </c>
      <c r="D128" s="77" t="s">
        <v>102</v>
      </c>
      <c r="E128" s="12">
        <v>1</v>
      </c>
      <c r="F128" s="12"/>
      <c r="G128" s="21">
        <f t="shared" si="6"/>
        <v>0</v>
      </c>
    </row>
    <row r="129" spans="1:7" ht="15">
      <c r="A129" s="77" t="s">
        <v>1814</v>
      </c>
      <c r="B129" s="6" t="s">
        <v>439</v>
      </c>
      <c r="C129" s="6" t="s">
        <v>440</v>
      </c>
      <c r="D129" s="77" t="s">
        <v>93</v>
      </c>
      <c r="E129" s="12">
        <v>0.8</v>
      </c>
      <c r="F129" s="12"/>
      <c r="G129" s="21">
        <f t="shared" si="6"/>
        <v>0</v>
      </c>
    </row>
    <row r="130" spans="1:7" ht="15">
      <c r="A130" s="77" t="s">
        <v>1815</v>
      </c>
      <c r="B130" s="6" t="s">
        <v>441</v>
      </c>
      <c r="C130" s="6" t="s">
        <v>442</v>
      </c>
      <c r="D130" s="77" t="s">
        <v>102</v>
      </c>
      <c r="E130" s="12">
        <v>4</v>
      </c>
      <c r="F130" s="12"/>
      <c r="G130" s="21">
        <f t="shared" si="6"/>
        <v>0</v>
      </c>
    </row>
    <row r="131" spans="1:7" ht="15">
      <c r="A131" s="77" t="s">
        <v>1816</v>
      </c>
      <c r="B131" s="6" t="s">
        <v>441</v>
      </c>
      <c r="C131" s="6" t="s">
        <v>446</v>
      </c>
      <c r="D131" s="77" t="s">
        <v>102</v>
      </c>
      <c r="E131" s="12">
        <v>1</v>
      </c>
      <c r="F131" s="12"/>
      <c r="G131" s="21">
        <f t="shared" si="6"/>
        <v>0</v>
      </c>
    </row>
    <row r="132" spans="1:7" ht="15">
      <c r="A132" s="77" t="s">
        <v>1817</v>
      </c>
      <c r="B132" s="6" t="s">
        <v>447</v>
      </c>
      <c r="C132" s="6" t="s">
        <v>448</v>
      </c>
      <c r="D132" s="77" t="s">
        <v>102</v>
      </c>
      <c r="E132" s="12">
        <v>1</v>
      </c>
      <c r="F132" s="12"/>
      <c r="G132" s="21">
        <f t="shared" si="6"/>
        <v>0</v>
      </c>
    </row>
    <row r="133" spans="1:7" ht="15">
      <c r="A133" s="77" t="s">
        <v>1818</v>
      </c>
      <c r="B133" s="6" t="s">
        <v>441</v>
      </c>
      <c r="C133" s="6" t="s">
        <v>449</v>
      </c>
      <c r="D133" s="77" t="s">
        <v>102</v>
      </c>
      <c r="E133" s="12">
        <v>1</v>
      </c>
      <c r="F133" s="12"/>
      <c r="G133" s="21">
        <f t="shared" si="6"/>
        <v>0</v>
      </c>
    </row>
    <row r="134" spans="1:7" ht="15">
      <c r="A134" s="77" t="s">
        <v>1819</v>
      </c>
      <c r="B134" s="6" t="s">
        <v>428</v>
      </c>
      <c r="C134" s="6" t="s">
        <v>450</v>
      </c>
      <c r="D134" s="77" t="s">
        <v>102</v>
      </c>
      <c r="E134" s="12">
        <v>1</v>
      </c>
      <c r="F134" s="12"/>
      <c r="G134" s="21">
        <f t="shared" ref="G134:G162" si="7">E134*F134</f>
        <v>0</v>
      </c>
    </row>
    <row r="135" spans="1:7" ht="15">
      <c r="A135" s="77" t="s">
        <v>1820</v>
      </c>
      <c r="B135" s="6" t="s">
        <v>428</v>
      </c>
      <c r="C135" s="6" t="s">
        <v>1657</v>
      </c>
      <c r="D135" s="77" t="s">
        <v>102</v>
      </c>
      <c r="E135" s="12">
        <v>1</v>
      </c>
      <c r="F135" s="12"/>
      <c r="G135" s="21">
        <f t="shared" si="7"/>
        <v>0</v>
      </c>
    </row>
    <row r="136" spans="1:7" ht="15">
      <c r="A136" s="77" t="s">
        <v>1821</v>
      </c>
      <c r="B136" s="6" t="s">
        <v>428</v>
      </c>
      <c r="C136" s="6" t="s">
        <v>451</v>
      </c>
      <c r="D136" s="77" t="s">
        <v>102</v>
      </c>
      <c r="E136" s="12">
        <v>1</v>
      </c>
      <c r="F136" s="12"/>
      <c r="G136" s="21">
        <f t="shared" si="7"/>
        <v>0</v>
      </c>
    </row>
    <row r="137" spans="1:7" ht="15">
      <c r="A137" s="77" t="s">
        <v>1822</v>
      </c>
      <c r="B137" s="6" t="s">
        <v>428</v>
      </c>
      <c r="C137" s="6" t="s">
        <v>450</v>
      </c>
      <c r="D137" s="77" t="s">
        <v>102</v>
      </c>
      <c r="E137" s="12">
        <v>1</v>
      </c>
      <c r="F137" s="12"/>
      <c r="G137" s="21">
        <f t="shared" si="7"/>
        <v>0</v>
      </c>
    </row>
    <row r="138" spans="1:7" ht="25.5">
      <c r="A138" s="77" t="s">
        <v>1823</v>
      </c>
      <c r="B138" s="6" t="s">
        <v>452</v>
      </c>
      <c r="C138" s="6" t="s">
        <v>453</v>
      </c>
      <c r="D138" s="77" t="s">
        <v>102</v>
      </c>
      <c r="E138" s="12">
        <v>1</v>
      </c>
      <c r="F138" s="12"/>
      <c r="G138" s="21">
        <f t="shared" si="7"/>
        <v>0</v>
      </c>
    </row>
    <row r="139" spans="1:7" ht="15">
      <c r="A139" s="77" t="s">
        <v>1824</v>
      </c>
      <c r="B139" s="6" t="s">
        <v>454</v>
      </c>
      <c r="C139" s="6" t="s">
        <v>455</v>
      </c>
      <c r="D139" s="77" t="s">
        <v>93</v>
      </c>
      <c r="E139" s="12">
        <v>4</v>
      </c>
      <c r="F139" s="12"/>
      <c r="G139" s="21">
        <f t="shared" si="7"/>
        <v>0</v>
      </c>
    </row>
    <row r="140" spans="1:7" ht="15">
      <c r="A140" s="77" t="s">
        <v>1825</v>
      </c>
      <c r="B140" s="6" t="s">
        <v>456</v>
      </c>
      <c r="C140" s="6" t="s">
        <v>457</v>
      </c>
      <c r="D140" s="77" t="s">
        <v>102</v>
      </c>
      <c r="E140" s="12">
        <v>8</v>
      </c>
      <c r="F140" s="12"/>
      <c r="G140" s="21">
        <f t="shared" si="7"/>
        <v>0</v>
      </c>
    </row>
    <row r="141" spans="1:7" ht="15">
      <c r="A141" s="77" t="s">
        <v>1826</v>
      </c>
      <c r="B141" s="6" t="s">
        <v>458</v>
      </c>
      <c r="C141" s="6" t="s">
        <v>459</v>
      </c>
      <c r="D141" s="77" t="s">
        <v>102</v>
      </c>
      <c r="E141" s="12">
        <v>6</v>
      </c>
      <c r="F141" s="12"/>
      <c r="G141" s="21">
        <f t="shared" si="7"/>
        <v>0</v>
      </c>
    </row>
    <row r="142" spans="1:7" ht="15">
      <c r="A142" s="77" t="s">
        <v>1827</v>
      </c>
      <c r="B142" s="6" t="s">
        <v>460</v>
      </c>
      <c r="C142" s="6" t="s">
        <v>461</v>
      </c>
      <c r="D142" s="77" t="s">
        <v>102</v>
      </c>
      <c r="E142" s="12">
        <v>12</v>
      </c>
      <c r="F142" s="12"/>
      <c r="G142" s="21">
        <f t="shared" si="7"/>
        <v>0</v>
      </c>
    </row>
    <row r="143" spans="1:7" ht="15">
      <c r="A143" s="77" t="s">
        <v>1828</v>
      </c>
      <c r="B143" s="6" t="s">
        <v>462</v>
      </c>
      <c r="C143" s="6" t="s">
        <v>463</v>
      </c>
      <c r="D143" s="77" t="s">
        <v>334</v>
      </c>
      <c r="E143" s="12">
        <v>8</v>
      </c>
      <c r="F143" s="12"/>
      <c r="G143" s="21">
        <f t="shared" si="7"/>
        <v>0</v>
      </c>
    </row>
    <row r="144" spans="1:7" ht="15">
      <c r="A144" s="77" t="s">
        <v>1829</v>
      </c>
      <c r="B144" s="6" t="s">
        <v>464</v>
      </c>
      <c r="C144" s="6" t="s">
        <v>465</v>
      </c>
      <c r="D144" s="77" t="s">
        <v>102</v>
      </c>
      <c r="E144" s="12">
        <v>8</v>
      </c>
      <c r="F144" s="12"/>
      <c r="G144" s="21">
        <f t="shared" si="7"/>
        <v>0</v>
      </c>
    </row>
    <row r="145" spans="1:7" ht="25.5">
      <c r="A145" s="77" t="s">
        <v>1830</v>
      </c>
      <c r="B145" s="6" t="s">
        <v>466</v>
      </c>
      <c r="C145" s="6" t="s">
        <v>467</v>
      </c>
      <c r="D145" s="77" t="s">
        <v>93</v>
      </c>
      <c r="E145" s="12">
        <v>10</v>
      </c>
      <c r="F145" s="12"/>
      <c r="G145" s="21">
        <f t="shared" si="7"/>
        <v>0</v>
      </c>
    </row>
    <row r="146" spans="1:7" ht="25.5">
      <c r="A146" s="77" t="s">
        <v>1831</v>
      </c>
      <c r="B146" s="6" t="s">
        <v>468</v>
      </c>
      <c r="C146" s="6" t="s">
        <v>469</v>
      </c>
      <c r="D146" s="77" t="s">
        <v>93</v>
      </c>
      <c r="E146" s="12">
        <v>5</v>
      </c>
      <c r="F146" s="12"/>
      <c r="G146" s="21">
        <f t="shared" si="7"/>
        <v>0</v>
      </c>
    </row>
    <row r="147" spans="1:7" ht="25.5">
      <c r="A147" s="77" t="s">
        <v>1832</v>
      </c>
      <c r="B147" s="6" t="s">
        <v>470</v>
      </c>
      <c r="C147" s="6" t="s">
        <v>471</v>
      </c>
      <c r="D147" s="77" t="s">
        <v>93</v>
      </c>
      <c r="E147" s="12">
        <f>10+5</f>
        <v>15</v>
      </c>
      <c r="F147" s="12"/>
      <c r="G147" s="21">
        <f t="shared" si="7"/>
        <v>0</v>
      </c>
    </row>
    <row r="148" spans="1:7" ht="25.5">
      <c r="A148" s="77" t="s">
        <v>1833</v>
      </c>
      <c r="B148" s="6" t="s">
        <v>472</v>
      </c>
      <c r="C148" s="6" t="s">
        <v>473</v>
      </c>
      <c r="D148" s="77" t="s">
        <v>20</v>
      </c>
      <c r="E148" s="12">
        <v>1.7</v>
      </c>
      <c r="F148" s="12"/>
      <c r="G148" s="21">
        <f t="shared" si="7"/>
        <v>0</v>
      </c>
    </row>
    <row r="149" spans="1:7" ht="15">
      <c r="A149" s="77" t="s">
        <v>1834</v>
      </c>
      <c r="B149" s="6" t="s">
        <v>474</v>
      </c>
      <c r="C149" s="6" t="s">
        <v>475</v>
      </c>
      <c r="D149" s="77" t="s">
        <v>20</v>
      </c>
      <c r="E149" s="12">
        <v>1.7</v>
      </c>
      <c r="F149" s="12"/>
      <c r="G149" s="21">
        <f t="shared" si="7"/>
        <v>0</v>
      </c>
    </row>
    <row r="150" spans="1:7" ht="25.5">
      <c r="A150" s="77" t="s">
        <v>1835</v>
      </c>
      <c r="B150" s="6" t="s">
        <v>476</v>
      </c>
      <c r="C150" s="6" t="s">
        <v>477</v>
      </c>
      <c r="D150" s="77" t="s">
        <v>20</v>
      </c>
      <c r="E150" s="12">
        <v>1.7</v>
      </c>
      <c r="F150" s="12"/>
      <c r="G150" s="21">
        <f t="shared" si="7"/>
        <v>0</v>
      </c>
    </row>
    <row r="151" spans="1:7" ht="25.5">
      <c r="A151" s="77" t="s">
        <v>1836</v>
      </c>
      <c r="B151" s="6" t="s">
        <v>478</v>
      </c>
      <c r="C151" s="6" t="s">
        <v>479</v>
      </c>
      <c r="D151" s="77" t="s">
        <v>20</v>
      </c>
      <c r="E151" s="12">
        <v>1.7</v>
      </c>
      <c r="F151" s="12"/>
      <c r="G151" s="21">
        <f t="shared" si="7"/>
        <v>0</v>
      </c>
    </row>
    <row r="152" spans="1:7" ht="25.5">
      <c r="A152" s="77" t="s">
        <v>1837</v>
      </c>
      <c r="B152" s="6" t="s">
        <v>480</v>
      </c>
      <c r="C152" s="6" t="s">
        <v>481</v>
      </c>
      <c r="D152" s="77" t="s">
        <v>93</v>
      </c>
      <c r="E152" s="12">
        <v>10</v>
      </c>
      <c r="F152" s="12"/>
      <c r="G152" s="21">
        <f t="shared" si="7"/>
        <v>0</v>
      </c>
    </row>
    <row r="153" spans="1:7" ht="25.5">
      <c r="A153" s="77" t="s">
        <v>1838</v>
      </c>
      <c r="B153" s="6" t="s">
        <v>482</v>
      </c>
      <c r="C153" s="6" t="s">
        <v>483</v>
      </c>
      <c r="D153" s="77" t="s">
        <v>93</v>
      </c>
      <c r="E153" s="12">
        <v>5</v>
      </c>
      <c r="F153" s="12"/>
      <c r="G153" s="21">
        <f t="shared" si="7"/>
        <v>0</v>
      </c>
    </row>
    <row r="154" spans="1:7" ht="15">
      <c r="A154" s="77" t="s">
        <v>1839</v>
      </c>
      <c r="B154" s="6" t="s">
        <v>484</v>
      </c>
      <c r="C154" s="6" t="s">
        <v>485</v>
      </c>
      <c r="D154" s="77" t="s">
        <v>93</v>
      </c>
      <c r="E154" s="12">
        <f>6+4</f>
        <v>10</v>
      </c>
      <c r="F154" s="12"/>
      <c r="G154" s="21">
        <f t="shared" si="7"/>
        <v>0</v>
      </c>
    </row>
    <row r="155" spans="1:7" ht="15">
      <c r="A155" s="77" t="s">
        <v>1840</v>
      </c>
      <c r="B155" s="6" t="s">
        <v>486</v>
      </c>
      <c r="C155" s="6" t="s">
        <v>487</v>
      </c>
      <c r="D155" s="77" t="s">
        <v>93</v>
      </c>
      <c r="E155" s="12">
        <f>6+4</f>
        <v>10</v>
      </c>
      <c r="F155" s="12"/>
      <c r="G155" s="21">
        <f t="shared" si="7"/>
        <v>0</v>
      </c>
    </row>
    <row r="156" spans="1:7" ht="25.5">
      <c r="A156" s="77" t="s">
        <v>1841</v>
      </c>
      <c r="B156" s="6" t="s">
        <v>488</v>
      </c>
      <c r="C156" s="6" t="s">
        <v>489</v>
      </c>
      <c r="D156" s="77" t="s">
        <v>490</v>
      </c>
      <c r="E156" s="12">
        <v>1</v>
      </c>
      <c r="F156" s="12"/>
      <c r="G156" s="21">
        <f t="shared" si="7"/>
        <v>0</v>
      </c>
    </row>
    <row r="157" spans="1:7" ht="25.5">
      <c r="A157" s="77" t="s">
        <v>1842</v>
      </c>
      <c r="B157" s="6" t="s">
        <v>491</v>
      </c>
      <c r="C157" s="6" t="s">
        <v>492</v>
      </c>
      <c r="D157" s="77" t="s">
        <v>93</v>
      </c>
      <c r="E157" s="12">
        <f>6+4</f>
        <v>10</v>
      </c>
      <c r="F157" s="12"/>
      <c r="G157" s="21">
        <f t="shared" si="7"/>
        <v>0</v>
      </c>
    </row>
    <row r="158" spans="1:7" ht="25.5">
      <c r="A158" s="77" t="s">
        <v>1843</v>
      </c>
      <c r="B158" s="6" t="s">
        <v>493</v>
      </c>
      <c r="C158" s="6" t="s">
        <v>494</v>
      </c>
      <c r="D158" s="77" t="s">
        <v>93</v>
      </c>
      <c r="E158" s="12">
        <f>6+4</f>
        <v>10</v>
      </c>
      <c r="F158" s="12"/>
      <c r="G158" s="21">
        <f t="shared" si="7"/>
        <v>0</v>
      </c>
    </row>
    <row r="159" spans="1:7" ht="25.5">
      <c r="A159" s="77" t="s">
        <v>1844</v>
      </c>
      <c r="B159" s="6" t="s">
        <v>495</v>
      </c>
      <c r="C159" s="6" t="s">
        <v>496</v>
      </c>
      <c r="D159" s="77" t="s">
        <v>20</v>
      </c>
      <c r="E159" s="12">
        <f>0.8*3</f>
        <v>2.4000000000000004</v>
      </c>
      <c r="F159" s="12"/>
      <c r="G159" s="21">
        <f t="shared" si="7"/>
        <v>0</v>
      </c>
    </row>
    <row r="160" spans="1:7" ht="15">
      <c r="A160" s="77" t="s">
        <v>1845</v>
      </c>
      <c r="B160" s="6" t="s">
        <v>497</v>
      </c>
      <c r="C160" s="6" t="s">
        <v>498</v>
      </c>
      <c r="D160" s="77" t="s">
        <v>102</v>
      </c>
      <c r="E160" s="12">
        <v>2</v>
      </c>
      <c r="F160" s="12"/>
      <c r="G160" s="21">
        <f t="shared" si="7"/>
        <v>0</v>
      </c>
    </row>
    <row r="161" spans="1:7" ht="15">
      <c r="A161" s="77" t="s">
        <v>1846</v>
      </c>
      <c r="B161" s="6" t="s">
        <v>497</v>
      </c>
      <c r="C161" s="6" t="s">
        <v>499</v>
      </c>
      <c r="D161" s="77" t="s">
        <v>102</v>
      </c>
      <c r="E161" s="12">
        <v>1</v>
      </c>
      <c r="F161" s="12"/>
      <c r="G161" s="21">
        <f t="shared" si="7"/>
        <v>0</v>
      </c>
    </row>
    <row r="162" spans="1:7" ht="25.5">
      <c r="A162" s="77" t="s">
        <v>1847</v>
      </c>
      <c r="B162" s="6" t="s">
        <v>500</v>
      </c>
      <c r="C162" s="6" t="s">
        <v>1658</v>
      </c>
      <c r="D162" s="77" t="s">
        <v>102</v>
      </c>
      <c r="E162" s="12">
        <v>1</v>
      </c>
      <c r="F162" s="12"/>
      <c r="G162" s="21">
        <f t="shared" si="7"/>
        <v>0</v>
      </c>
    </row>
    <row r="163" spans="1:7" ht="15">
      <c r="A163" s="78" t="s">
        <v>398</v>
      </c>
      <c r="B163" s="153" t="s">
        <v>502</v>
      </c>
      <c r="C163" s="154"/>
      <c r="D163" s="78"/>
      <c r="E163" s="13"/>
      <c r="F163" s="13"/>
      <c r="G163" s="20">
        <f>SUM(G164:G169)</f>
        <v>0</v>
      </c>
    </row>
    <row r="164" spans="1:7" ht="25.5">
      <c r="A164" s="77" t="s">
        <v>1537</v>
      </c>
      <c r="B164" s="6" t="s">
        <v>503</v>
      </c>
      <c r="C164" s="6" t="s">
        <v>504</v>
      </c>
      <c r="D164" s="77" t="s">
        <v>102</v>
      </c>
      <c r="E164" s="12">
        <v>2</v>
      </c>
      <c r="F164" s="12"/>
      <c r="G164" s="21">
        <f t="shared" ref="G164:G169" si="8">E164*F164</f>
        <v>0</v>
      </c>
    </row>
    <row r="165" spans="1:7" ht="25.5">
      <c r="A165" s="77" t="s">
        <v>1538</v>
      </c>
      <c r="B165" s="6" t="s">
        <v>505</v>
      </c>
      <c r="C165" s="6" t="s">
        <v>506</v>
      </c>
      <c r="D165" s="77" t="s">
        <v>102</v>
      </c>
      <c r="E165" s="12">
        <v>1</v>
      </c>
      <c r="F165" s="12"/>
      <c r="G165" s="21">
        <f t="shared" si="8"/>
        <v>0</v>
      </c>
    </row>
    <row r="166" spans="1:7" ht="15">
      <c r="A166" s="77" t="s">
        <v>1539</v>
      </c>
      <c r="B166" s="6" t="s">
        <v>507</v>
      </c>
      <c r="C166" s="6" t="s">
        <v>508</v>
      </c>
      <c r="D166" s="77" t="s">
        <v>102</v>
      </c>
      <c r="E166" s="12">
        <v>2</v>
      </c>
      <c r="F166" s="12"/>
      <c r="G166" s="21">
        <f t="shared" si="8"/>
        <v>0</v>
      </c>
    </row>
    <row r="167" spans="1:7" ht="15">
      <c r="A167" s="77" t="s">
        <v>1540</v>
      </c>
      <c r="B167" s="6" t="s">
        <v>509</v>
      </c>
      <c r="C167" s="6" t="s">
        <v>510</v>
      </c>
      <c r="D167" s="77" t="s">
        <v>102</v>
      </c>
      <c r="E167" s="12">
        <v>1</v>
      </c>
      <c r="F167" s="12"/>
      <c r="G167" s="21">
        <f t="shared" si="8"/>
        <v>0</v>
      </c>
    </row>
    <row r="168" spans="1:7" ht="38.25">
      <c r="A168" s="77" t="s">
        <v>1541</v>
      </c>
      <c r="B168" s="6" t="s">
        <v>511</v>
      </c>
      <c r="C168" s="6" t="s">
        <v>512</v>
      </c>
      <c r="D168" s="77" t="s">
        <v>102</v>
      </c>
      <c r="E168" s="12">
        <f>(2+1)*2</f>
        <v>6</v>
      </c>
      <c r="F168" s="12"/>
      <c r="G168" s="21">
        <f t="shared" si="8"/>
        <v>0</v>
      </c>
    </row>
    <row r="169" spans="1:7" ht="38.25">
      <c r="A169" s="77" t="s">
        <v>1542</v>
      </c>
      <c r="B169" s="6" t="s">
        <v>513</v>
      </c>
      <c r="C169" s="6" t="s">
        <v>514</v>
      </c>
      <c r="D169" s="77" t="s">
        <v>515</v>
      </c>
      <c r="E169" s="12">
        <v>1</v>
      </c>
      <c r="F169" s="12"/>
      <c r="G169" s="21">
        <f t="shared" si="8"/>
        <v>0</v>
      </c>
    </row>
    <row r="170" spans="1:7" ht="15">
      <c r="A170" s="37">
        <v>2</v>
      </c>
      <c r="B170" s="148" t="s">
        <v>1691</v>
      </c>
      <c r="C170" s="149"/>
      <c r="D170" s="37"/>
      <c r="E170" s="39"/>
      <c r="F170" s="39"/>
      <c r="G170" s="40">
        <f>SUM(G171,G177,G201)</f>
        <v>0</v>
      </c>
    </row>
    <row r="171" spans="1:7" ht="15">
      <c r="A171" s="78" t="s">
        <v>95</v>
      </c>
      <c r="B171" s="153" t="s">
        <v>397</v>
      </c>
      <c r="C171" s="154"/>
      <c r="D171" s="78"/>
      <c r="E171" s="13"/>
      <c r="F171" s="13"/>
      <c r="G171" s="20">
        <f>SUM(G172:G176)</f>
        <v>0</v>
      </c>
    </row>
    <row r="172" spans="1:7" ht="15">
      <c r="A172" s="77" t="s">
        <v>1262</v>
      </c>
      <c r="B172" s="6" t="s">
        <v>546</v>
      </c>
      <c r="C172" s="6" t="s">
        <v>547</v>
      </c>
      <c r="D172" s="77" t="s">
        <v>161</v>
      </c>
      <c r="E172" s="12">
        <f>35*2</f>
        <v>70</v>
      </c>
      <c r="F172" s="12"/>
      <c r="G172" s="21">
        <f>E172*F172</f>
        <v>0</v>
      </c>
    </row>
    <row r="173" spans="1:7" ht="25.5">
      <c r="A173" s="77" t="s">
        <v>1263</v>
      </c>
      <c r="B173" s="6" t="s">
        <v>548</v>
      </c>
      <c r="C173" s="6" t="s">
        <v>549</v>
      </c>
      <c r="D173" s="77" t="s">
        <v>334</v>
      </c>
      <c r="E173" s="12">
        <v>25</v>
      </c>
      <c r="F173" s="12"/>
      <c r="G173" s="21">
        <f>E173*F173</f>
        <v>0</v>
      </c>
    </row>
    <row r="174" spans="1:7" ht="25.5">
      <c r="A174" s="77" t="s">
        <v>1264</v>
      </c>
      <c r="B174" s="6" t="s">
        <v>550</v>
      </c>
      <c r="C174" s="6" t="s">
        <v>551</v>
      </c>
      <c r="D174" s="77" t="s">
        <v>7</v>
      </c>
      <c r="E174" s="12">
        <f>25*0.03</f>
        <v>0.75</v>
      </c>
      <c r="F174" s="12"/>
      <c r="G174" s="21">
        <f>E174*F174</f>
        <v>0</v>
      </c>
    </row>
    <row r="175" spans="1:7" ht="25.5">
      <c r="A175" s="77" t="s">
        <v>1265</v>
      </c>
      <c r="B175" s="6" t="s">
        <v>552</v>
      </c>
      <c r="C175" s="6" t="s">
        <v>553</v>
      </c>
      <c r="D175" s="77" t="s">
        <v>7</v>
      </c>
      <c r="E175" s="12">
        <f>E174</f>
        <v>0.75</v>
      </c>
      <c r="F175" s="12"/>
      <c r="G175" s="21">
        <f>E175*F175</f>
        <v>0</v>
      </c>
    </row>
    <row r="176" spans="1:7" ht="15">
      <c r="A176" s="77" t="s">
        <v>1266</v>
      </c>
      <c r="B176" s="6" t="s">
        <v>72</v>
      </c>
      <c r="C176" s="6" t="s">
        <v>554</v>
      </c>
      <c r="D176" s="77" t="s">
        <v>7</v>
      </c>
      <c r="E176" s="12">
        <f>E175</f>
        <v>0.75</v>
      </c>
      <c r="F176" s="12"/>
      <c r="G176" s="21">
        <f>E176*F176</f>
        <v>0</v>
      </c>
    </row>
    <row r="177" spans="1:7" ht="15">
      <c r="A177" s="78" t="s">
        <v>108</v>
      </c>
      <c r="B177" s="8" t="s">
        <v>399</v>
      </c>
      <c r="C177" s="8"/>
      <c r="D177" s="78"/>
      <c r="E177" s="13"/>
      <c r="F177" s="13"/>
      <c r="G177" s="20">
        <f>SUM(G178:G200)</f>
        <v>0</v>
      </c>
    </row>
    <row r="178" spans="1:7" ht="15">
      <c r="A178" s="77" t="s">
        <v>1271</v>
      </c>
      <c r="B178" s="6" t="s">
        <v>575</v>
      </c>
      <c r="C178" s="6" t="s">
        <v>576</v>
      </c>
      <c r="D178" s="77" t="s">
        <v>102</v>
      </c>
      <c r="E178" s="12">
        <v>4</v>
      </c>
      <c r="F178" s="12"/>
      <c r="G178" s="21">
        <f t="shared" ref="G178:G200" si="9">E178*F178</f>
        <v>0</v>
      </c>
    </row>
    <row r="179" spans="1:7" ht="15">
      <c r="A179" s="77" t="s">
        <v>1272</v>
      </c>
      <c r="B179" s="6" t="s">
        <v>577</v>
      </c>
      <c r="C179" s="6" t="s">
        <v>578</v>
      </c>
      <c r="D179" s="77" t="s">
        <v>102</v>
      </c>
      <c r="E179" s="12">
        <v>35</v>
      </c>
      <c r="F179" s="12"/>
      <c r="G179" s="21">
        <f t="shared" si="9"/>
        <v>0</v>
      </c>
    </row>
    <row r="180" spans="1:7" ht="15">
      <c r="A180" s="77" t="s">
        <v>1543</v>
      </c>
      <c r="B180" s="6" t="s">
        <v>593</v>
      </c>
      <c r="C180" s="6" t="s">
        <v>594</v>
      </c>
      <c r="D180" s="77" t="s">
        <v>102</v>
      </c>
      <c r="E180" s="12">
        <v>2</v>
      </c>
      <c r="F180" s="12"/>
      <c r="G180" s="21">
        <f t="shared" si="9"/>
        <v>0</v>
      </c>
    </row>
    <row r="181" spans="1:7" ht="15">
      <c r="A181" s="77" t="s">
        <v>1544</v>
      </c>
      <c r="B181" s="6" t="s">
        <v>593</v>
      </c>
      <c r="C181" s="6" t="s">
        <v>595</v>
      </c>
      <c r="D181" s="77" t="s">
        <v>102</v>
      </c>
      <c r="E181" s="12">
        <v>2</v>
      </c>
      <c r="F181" s="12"/>
      <c r="G181" s="21">
        <f t="shared" si="9"/>
        <v>0</v>
      </c>
    </row>
    <row r="182" spans="1:7" ht="15">
      <c r="A182" s="77" t="s">
        <v>1545</v>
      </c>
      <c r="B182" s="6" t="s">
        <v>593</v>
      </c>
      <c r="C182" s="6" t="s">
        <v>596</v>
      </c>
      <c r="D182" s="77" t="s">
        <v>102</v>
      </c>
      <c r="E182" s="12">
        <v>1</v>
      </c>
      <c r="F182" s="12"/>
      <c r="G182" s="21">
        <f t="shared" si="9"/>
        <v>0</v>
      </c>
    </row>
    <row r="183" spans="1:7" ht="15">
      <c r="A183" s="77" t="s">
        <v>1546</v>
      </c>
      <c r="B183" s="6" t="s">
        <v>593</v>
      </c>
      <c r="C183" s="6" t="s">
        <v>597</v>
      </c>
      <c r="D183" s="77" t="s">
        <v>102</v>
      </c>
      <c r="E183" s="12">
        <v>1</v>
      </c>
      <c r="F183" s="12"/>
      <c r="G183" s="21">
        <f t="shared" si="9"/>
        <v>0</v>
      </c>
    </row>
    <row r="184" spans="1:7" ht="15">
      <c r="A184" s="77" t="s">
        <v>1849</v>
      </c>
      <c r="B184" s="6" t="s">
        <v>593</v>
      </c>
      <c r="C184" s="6" t="s">
        <v>598</v>
      </c>
      <c r="D184" s="77" t="s">
        <v>102</v>
      </c>
      <c r="E184" s="12">
        <v>1</v>
      </c>
      <c r="F184" s="12"/>
      <c r="G184" s="21">
        <f t="shared" si="9"/>
        <v>0</v>
      </c>
    </row>
    <row r="185" spans="1:7" ht="15">
      <c r="A185" s="77" t="s">
        <v>1850</v>
      </c>
      <c r="B185" s="6" t="s">
        <v>593</v>
      </c>
      <c r="C185" s="6" t="s">
        <v>599</v>
      </c>
      <c r="D185" s="77" t="s">
        <v>102</v>
      </c>
      <c r="E185" s="12">
        <v>1</v>
      </c>
      <c r="F185" s="12"/>
      <c r="G185" s="21">
        <f t="shared" si="9"/>
        <v>0</v>
      </c>
    </row>
    <row r="186" spans="1:7" ht="15">
      <c r="A186" s="77" t="s">
        <v>1851</v>
      </c>
      <c r="B186" s="6" t="s">
        <v>593</v>
      </c>
      <c r="C186" s="6" t="s">
        <v>600</v>
      </c>
      <c r="D186" s="77" t="s">
        <v>102</v>
      </c>
      <c r="E186" s="12">
        <v>4</v>
      </c>
      <c r="F186" s="12"/>
      <c r="G186" s="21">
        <f t="shared" si="9"/>
        <v>0</v>
      </c>
    </row>
    <row r="187" spans="1:7" ht="15">
      <c r="A187" s="77" t="s">
        <v>1852</v>
      </c>
      <c r="B187" s="6" t="s">
        <v>593</v>
      </c>
      <c r="C187" s="6" t="s">
        <v>601</v>
      </c>
      <c r="D187" s="77" t="s">
        <v>102</v>
      </c>
      <c r="E187" s="12">
        <v>5</v>
      </c>
      <c r="F187" s="12"/>
      <c r="G187" s="21">
        <f t="shared" si="9"/>
        <v>0</v>
      </c>
    </row>
    <row r="188" spans="1:7" ht="15">
      <c r="A188" s="77" t="s">
        <v>1853</v>
      </c>
      <c r="B188" s="6" t="s">
        <v>593</v>
      </c>
      <c r="C188" s="6" t="s">
        <v>602</v>
      </c>
      <c r="D188" s="77" t="s">
        <v>102</v>
      </c>
      <c r="E188" s="12">
        <v>3</v>
      </c>
      <c r="F188" s="12"/>
      <c r="G188" s="21">
        <f t="shared" si="9"/>
        <v>0</v>
      </c>
    </row>
    <row r="189" spans="1:7" ht="15">
      <c r="A189" s="77" t="s">
        <v>1854</v>
      </c>
      <c r="B189" s="6" t="s">
        <v>593</v>
      </c>
      <c r="C189" s="6" t="s">
        <v>603</v>
      </c>
      <c r="D189" s="77" t="s">
        <v>102</v>
      </c>
      <c r="E189" s="12">
        <v>2</v>
      </c>
      <c r="F189" s="12"/>
      <c r="G189" s="21">
        <f t="shared" si="9"/>
        <v>0</v>
      </c>
    </row>
    <row r="190" spans="1:7" ht="15">
      <c r="A190" s="77" t="s">
        <v>1855</v>
      </c>
      <c r="B190" s="6" t="s">
        <v>593</v>
      </c>
      <c r="C190" s="6" t="s">
        <v>604</v>
      </c>
      <c r="D190" s="77" t="s">
        <v>102</v>
      </c>
      <c r="E190" s="12">
        <v>6</v>
      </c>
      <c r="F190" s="12"/>
      <c r="G190" s="21">
        <f t="shared" si="9"/>
        <v>0</v>
      </c>
    </row>
    <row r="191" spans="1:7" ht="15">
      <c r="A191" s="77" t="s">
        <v>1856</v>
      </c>
      <c r="B191" s="6" t="s">
        <v>593</v>
      </c>
      <c r="C191" s="6" t="s">
        <v>605</v>
      </c>
      <c r="D191" s="77" t="s">
        <v>102</v>
      </c>
      <c r="E191" s="12">
        <v>2</v>
      </c>
      <c r="F191" s="12"/>
      <c r="G191" s="21">
        <f t="shared" si="9"/>
        <v>0</v>
      </c>
    </row>
    <row r="192" spans="1:7" ht="15">
      <c r="A192" s="77" t="s">
        <v>1857</v>
      </c>
      <c r="B192" s="6" t="s">
        <v>593</v>
      </c>
      <c r="C192" s="6" t="s">
        <v>606</v>
      </c>
      <c r="D192" s="77" t="s">
        <v>102</v>
      </c>
      <c r="E192" s="12">
        <v>1</v>
      </c>
      <c r="F192" s="12"/>
      <c r="G192" s="21">
        <f t="shared" si="9"/>
        <v>0</v>
      </c>
    </row>
    <row r="193" spans="1:7" ht="15">
      <c r="A193" s="77" t="s">
        <v>1858</v>
      </c>
      <c r="B193" s="6" t="s">
        <v>607</v>
      </c>
      <c r="C193" s="6" t="s">
        <v>608</v>
      </c>
      <c r="D193" s="77" t="s">
        <v>102</v>
      </c>
      <c r="E193" s="12">
        <v>1</v>
      </c>
      <c r="F193" s="12"/>
      <c r="G193" s="21">
        <f t="shared" si="9"/>
        <v>0</v>
      </c>
    </row>
    <row r="194" spans="1:7" ht="15">
      <c r="A194" s="77" t="s">
        <v>1859</v>
      </c>
      <c r="B194" s="6" t="s">
        <v>607</v>
      </c>
      <c r="C194" s="6" t="s">
        <v>608</v>
      </c>
      <c r="D194" s="77" t="s">
        <v>102</v>
      </c>
      <c r="E194" s="12">
        <v>3</v>
      </c>
      <c r="F194" s="12"/>
      <c r="G194" s="21">
        <f t="shared" si="9"/>
        <v>0</v>
      </c>
    </row>
    <row r="195" spans="1:7" ht="15">
      <c r="A195" s="77" t="s">
        <v>1887</v>
      </c>
      <c r="B195" s="6" t="s">
        <v>571</v>
      </c>
      <c r="C195" s="6" t="s">
        <v>572</v>
      </c>
      <c r="D195" s="77" t="s">
        <v>102</v>
      </c>
      <c r="E195" s="12">
        <v>35</v>
      </c>
      <c r="F195" s="12"/>
      <c r="G195" s="21">
        <f t="shared" si="9"/>
        <v>0</v>
      </c>
    </row>
    <row r="196" spans="1:7" ht="25.5">
      <c r="A196" s="77" t="s">
        <v>1888</v>
      </c>
      <c r="B196" s="6" t="s">
        <v>609</v>
      </c>
      <c r="C196" s="6" t="s">
        <v>610</v>
      </c>
      <c r="D196" s="77" t="s">
        <v>611</v>
      </c>
      <c r="E196" s="12">
        <v>35</v>
      </c>
      <c r="F196" s="12"/>
      <c r="G196" s="21">
        <f t="shared" si="9"/>
        <v>0</v>
      </c>
    </row>
    <row r="197" spans="1:7" ht="25.5">
      <c r="A197" s="77" t="s">
        <v>1889</v>
      </c>
      <c r="B197" s="6" t="s">
        <v>612</v>
      </c>
      <c r="C197" s="6" t="s">
        <v>613</v>
      </c>
      <c r="D197" s="77" t="s">
        <v>93</v>
      </c>
      <c r="E197" s="12">
        <v>541</v>
      </c>
      <c r="F197" s="12"/>
      <c r="G197" s="21">
        <f t="shared" si="9"/>
        <v>0</v>
      </c>
    </row>
    <row r="198" spans="1:7" ht="25.5">
      <c r="A198" s="77" t="s">
        <v>1890</v>
      </c>
      <c r="B198" s="6" t="s">
        <v>612</v>
      </c>
      <c r="C198" s="6" t="s">
        <v>614</v>
      </c>
      <c r="D198" s="77" t="s">
        <v>93</v>
      </c>
      <c r="E198" s="12">
        <v>25</v>
      </c>
      <c r="F198" s="12"/>
      <c r="G198" s="21">
        <f t="shared" si="9"/>
        <v>0</v>
      </c>
    </row>
    <row r="199" spans="1:7" ht="25.5">
      <c r="A199" s="77" t="s">
        <v>1891</v>
      </c>
      <c r="B199" s="6" t="s">
        <v>615</v>
      </c>
      <c r="C199" s="6" t="s">
        <v>616</v>
      </c>
      <c r="D199" s="77" t="s">
        <v>93</v>
      </c>
      <c r="E199" s="12">
        <v>23</v>
      </c>
      <c r="F199" s="12"/>
      <c r="G199" s="21">
        <f t="shared" si="9"/>
        <v>0</v>
      </c>
    </row>
    <row r="200" spans="1:7" ht="25.5">
      <c r="A200" s="77" t="s">
        <v>1892</v>
      </c>
      <c r="B200" s="6" t="s">
        <v>615</v>
      </c>
      <c r="C200" s="6" t="s">
        <v>617</v>
      </c>
      <c r="D200" s="77" t="s">
        <v>93</v>
      </c>
      <c r="E200" s="12">
        <v>23</v>
      </c>
      <c r="F200" s="12"/>
      <c r="G200" s="21">
        <f t="shared" si="9"/>
        <v>0</v>
      </c>
    </row>
    <row r="201" spans="1:7" ht="15">
      <c r="A201" s="78" t="s">
        <v>111</v>
      </c>
      <c r="B201" s="153" t="s">
        <v>502</v>
      </c>
      <c r="C201" s="154"/>
      <c r="D201" s="78"/>
      <c r="E201" s="13"/>
      <c r="F201" s="13"/>
      <c r="G201" s="20">
        <f>SUM(G202:G207)</f>
        <v>0</v>
      </c>
    </row>
    <row r="202" spans="1:7" ht="25.5">
      <c r="A202" s="77" t="s">
        <v>1273</v>
      </c>
      <c r="B202" s="6" t="s">
        <v>503</v>
      </c>
      <c r="C202" s="6" t="s">
        <v>504</v>
      </c>
      <c r="D202" s="77" t="s">
        <v>102</v>
      </c>
      <c r="E202" s="12">
        <v>3</v>
      </c>
      <c r="F202" s="12"/>
      <c r="G202" s="21">
        <f>E202*F202</f>
        <v>0</v>
      </c>
    </row>
    <row r="203" spans="1:7" ht="15">
      <c r="A203" s="77" t="s">
        <v>1274</v>
      </c>
      <c r="B203" s="6" t="s">
        <v>535</v>
      </c>
      <c r="C203" s="6" t="s">
        <v>536</v>
      </c>
      <c r="D203" s="77" t="s">
        <v>102</v>
      </c>
      <c r="E203" s="12">
        <v>2</v>
      </c>
      <c r="F203" s="12"/>
      <c r="G203" s="21">
        <f t="shared" ref="G203:G207" si="10">E203*F203</f>
        <v>0</v>
      </c>
    </row>
    <row r="204" spans="1:7" ht="15">
      <c r="A204" s="77" t="s">
        <v>1275</v>
      </c>
      <c r="B204" s="6" t="s">
        <v>507</v>
      </c>
      <c r="C204" s="6" t="s">
        <v>508</v>
      </c>
      <c r="D204" s="77" t="s">
        <v>102</v>
      </c>
      <c r="E204" s="12">
        <v>3</v>
      </c>
      <c r="F204" s="12"/>
      <c r="G204" s="21">
        <f t="shared" si="10"/>
        <v>0</v>
      </c>
    </row>
    <row r="205" spans="1:7" ht="15">
      <c r="A205" s="77" t="s">
        <v>1276</v>
      </c>
      <c r="B205" s="6" t="s">
        <v>537</v>
      </c>
      <c r="C205" s="6" t="s">
        <v>538</v>
      </c>
      <c r="D205" s="77" t="s">
        <v>102</v>
      </c>
      <c r="E205" s="12">
        <v>2</v>
      </c>
      <c r="F205" s="12"/>
      <c r="G205" s="21">
        <f t="shared" si="10"/>
        <v>0</v>
      </c>
    </row>
    <row r="206" spans="1:7" ht="25.5">
      <c r="A206" s="77" t="s">
        <v>1277</v>
      </c>
      <c r="B206" s="6" t="s">
        <v>618</v>
      </c>
      <c r="C206" s="6" t="s">
        <v>619</v>
      </c>
      <c r="D206" s="77" t="s">
        <v>93</v>
      </c>
      <c r="E206" s="12">
        <v>8</v>
      </c>
      <c r="F206" s="12"/>
      <c r="G206" s="21">
        <f t="shared" si="10"/>
        <v>0</v>
      </c>
    </row>
    <row r="207" spans="1:7" ht="25.5">
      <c r="A207" s="77" t="s">
        <v>1893</v>
      </c>
      <c r="B207" s="6" t="s">
        <v>620</v>
      </c>
      <c r="C207" s="6" t="s">
        <v>621</v>
      </c>
      <c r="D207" s="77" t="s">
        <v>93</v>
      </c>
      <c r="E207" s="12">
        <v>8</v>
      </c>
      <c r="F207" s="12"/>
      <c r="G207" s="21">
        <f t="shared" si="10"/>
        <v>0</v>
      </c>
    </row>
    <row r="208" spans="1:7" ht="15">
      <c r="A208" s="37">
        <v>3</v>
      </c>
      <c r="B208" s="148" t="s">
        <v>1608</v>
      </c>
      <c r="C208" s="149"/>
      <c r="D208" s="37"/>
      <c r="E208" s="39"/>
      <c r="F208" s="39"/>
      <c r="G208" s="40">
        <f>SUM(G209:G218)</f>
        <v>0</v>
      </c>
    </row>
    <row r="209" spans="1:7" ht="15">
      <c r="A209" s="77" t="s">
        <v>148</v>
      </c>
      <c r="B209" s="6" t="s">
        <v>686</v>
      </c>
      <c r="C209" s="6" t="s">
        <v>687</v>
      </c>
      <c r="D209" s="77" t="s">
        <v>93</v>
      </c>
      <c r="E209" s="12">
        <v>74</v>
      </c>
      <c r="F209" s="12"/>
      <c r="G209" s="21">
        <f>E209*F209</f>
        <v>0</v>
      </c>
    </row>
    <row r="210" spans="1:7" ht="15">
      <c r="A210" s="77" t="s">
        <v>153</v>
      </c>
      <c r="B210" s="6" t="s">
        <v>688</v>
      </c>
      <c r="C210" s="6" t="s">
        <v>689</v>
      </c>
      <c r="D210" s="77" t="s">
        <v>93</v>
      </c>
      <c r="E210" s="12">
        <v>21</v>
      </c>
      <c r="F210" s="12"/>
      <c r="G210" s="21">
        <f t="shared" ref="G210:G218" si="11">E210*F210</f>
        <v>0</v>
      </c>
    </row>
    <row r="211" spans="1:7" ht="15">
      <c r="A211" s="77" t="s">
        <v>163</v>
      </c>
      <c r="B211" s="6" t="s">
        <v>486</v>
      </c>
      <c r="C211" s="6" t="s">
        <v>487</v>
      </c>
      <c r="D211" s="77" t="s">
        <v>93</v>
      </c>
      <c r="E211" s="12">
        <f>74+21</f>
        <v>95</v>
      </c>
      <c r="F211" s="12"/>
      <c r="G211" s="21">
        <f t="shared" si="11"/>
        <v>0</v>
      </c>
    </row>
    <row r="212" spans="1:7" ht="25.5">
      <c r="A212" s="77" t="s">
        <v>176</v>
      </c>
      <c r="B212" s="6" t="s">
        <v>488</v>
      </c>
      <c r="C212" s="6" t="s">
        <v>489</v>
      </c>
      <c r="D212" s="77" t="s">
        <v>490</v>
      </c>
      <c r="E212" s="12">
        <v>1</v>
      </c>
      <c r="F212" s="12"/>
      <c r="G212" s="21">
        <f t="shared" si="11"/>
        <v>0</v>
      </c>
    </row>
    <row r="213" spans="1:7" ht="25.5">
      <c r="A213" s="77" t="s">
        <v>1519</v>
      </c>
      <c r="B213" s="6" t="s">
        <v>493</v>
      </c>
      <c r="C213" s="6" t="s">
        <v>494</v>
      </c>
      <c r="D213" s="77" t="s">
        <v>93</v>
      </c>
      <c r="E213" s="12">
        <v>95</v>
      </c>
      <c r="F213" s="12"/>
      <c r="G213" s="21">
        <f t="shared" si="11"/>
        <v>0</v>
      </c>
    </row>
    <row r="214" spans="1:7" ht="25.5">
      <c r="A214" s="77" t="s">
        <v>1520</v>
      </c>
      <c r="B214" s="6" t="s">
        <v>612</v>
      </c>
      <c r="C214" s="6" t="s">
        <v>707</v>
      </c>
      <c r="D214" s="77" t="s">
        <v>93</v>
      </c>
      <c r="E214" s="12">
        <v>74</v>
      </c>
      <c r="F214" s="12"/>
      <c r="G214" s="21">
        <f t="shared" si="11"/>
        <v>0</v>
      </c>
    </row>
    <row r="215" spans="1:7" ht="25.5">
      <c r="A215" s="77" t="s">
        <v>1521</v>
      </c>
      <c r="B215" s="6" t="s">
        <v>634</v>
      </c>
      <c r="C215" s="6" t="s">
        <v>708</v>
      </c>
      <c r="D215" s="77" t="s">
        <v>93</v>
      </c>
      <c r="E215" s="12">
        <v>195</v>
      </c>
      <c r="F215" s="12"/>
      <c r="G215" s="21">
        <f t="shared" si="11"/>
        <v>0</v>
      </c>
    </row>
    <row r="216" spans="1:7" ht="25.5">
      <c r="A216" s="77" t="s">
        <v>1522</v>
      </c>
      <c r="B216" s="6" t="s">
        <v>615</v>
      </c>
      <c r="C216" s="6" t="s">
        <v>709</v>
      </c>
      <c r="D216" s="77" t="s">
        <v>93</v>
      </c>
      <c r="E216" s="12">
        <v>21</v>
      </c>
      <c r="F216" s="12"/>
      <c r="G216" s="21">
        <f t="shared" si="11"/>
        <v>0</v>
      </c>
    </row>
    <row r="217" spans="1:7" ht="25.5">
      <c r="A217" s="77" t="s">
        <v>1523</v>
      </c>
      <c r="B217" s="6" t="s">
        <v>710</v>
      </c>
      <c r="C217" s="6" t="s">
        <v>711</v>
      </c>
      <c r="D217" s="77" t="s">
        <v>93</v>
      </c>
      <c r="E217" s="12">
        <v>87</v>
      </c>
      <c r="F217" s="12"/>
      <c r="G217" s="21">
        <f t="shared" si="11"/>
        <v>0</v>
      </c>
    </row>
    <row r="218" spans="1:7" ht="15">
      <c r="A218" s="77" t="s">
        <v>1524</v>
      </c>
      <c r="B218" s="6" t="s">
        <v>732</v>
      </c>
      <c r="C218" s="6" t="s">
        <v>751</v>
      </c>
      <c r="D218" s="77" t="s">
        <v>102</v>
      </c>
      <c r="E218" s="12">
        <v>6</v>
      </c>
      <c r="F218" s="12"/>
      <c r="G218" s="21">
        <f t="shared" si="11"/>
        <v>0</v>
      </c>
    </row>
    <row r="219" spans="1:7" ht="23.25" customHeight="1">
      <c r="A219" s="144" t="s">
        <v>1883</v>
      </c>
      <c r="B219" s="145"/>
      <c r="C219" s="146"/>
      <c r="D219" s="86"/>
      <c r="E219" s="85"/>
      <c r="F219" s="85"/>
      <c r="G219" s="85">
        <f>SUM(G220,G228)</f>
        <v>0</v>
      </c>
    </row>
    <row r="220" spans="1:7">
      <c r="A220" s="37">
        <v>1</v>
      </c>
      <c r="B220" s="148" t="s">
        <v>875</v>
      </c>
      <c r="C220" s="149"/>
      <c r="D220" s="37"/>
      <c r="E220" s="39"/>
      <c r="F220" s="39"/>
      <c r="G220" s="39">
        <f>SUM(G221:G227)</f>
        <v>0</v>
      </c>
    </row>
    <row r="221" spans="1:7" ht="25.5">
      <c r="A221" s="77" t="s">
        <v>380</v>
      </c>
      <c r="B221" s="6" t="s">
        <v>876</v>
      </c>
      <c r="C221" s="6" t="s">
        <v>877</v>
      </c>
      <c r="D221" s="77" t="s">
        <v>334</v>
      </c>
      <c r="E221" s="12">
        <v>7</v>
      </c>
      <c r="F221" s="12"/>
      <c r="G221" s="12">
        <f>E221*F221</f>
        <v>0</v>
      </c>
    </row>
    <row r="222" spans="1:7" ht="25.5">
      <c r="A222" s="77" t="s">
        <v>398</v>
      </c>
      <c r="B222" s="6" t="s">
        <v>876</v>
      </c>
      <c r="C222" s="6" t="s">
        <v>878</v>
      </c>
      <c r="D222" s="77" t="s">
        <v>334</v>
      </c>
      <c r="E222" s="12">
        <v>10</v>
      </c>
      <c r="F222" s="12"/>
      <c r="G222" s="12">
        <f>E222*F222</f>
        <v>0</v>
      </c>
    </row>
    <row r="223" spans="1:7" ht="25.5">
      <c r="A223" s="77" t="s">
        <v>501</v>
      </c>
      <c r="B223" s="6" t="s">
        <v>876</v>
      </c>
      <c r="C223" s="6" t="s">
        <v>879</v>
      </c>
      <c r="D223" s="77" t="s">
        <v>334</v>
      </c>
      <c r="E223" s="12">
        <v>31</v>
      </c>
      <c r="F223" s="12"/>
      <c r="G223" s="12">
        <f t="shared" ref="G223:G224" si="12">E223*F223</f>
        <v>0</v>
      </c>
    </row>
    <row r="224" spans="1:7" ht="25.5">
      <c r="A224" s="77" t="s">
        <v>1200</v>
      </c>
      <c r="B224" s="6" t="s">
        <v>876</v>
      </c>
      <c r="C224" s="6" t="s">
        <v>880</v>
      </c>
      <c r="D224" s="77" t="s">
        <v>334</v>
      </c>
      <c r="E224" s="12">
        <v>74</v>
      </c>
      <c r="F224" s="12"/>
      <c r="G224" s="12">
        <f t="shared" si="12"/>
        <v>0</v>
      </c>
    </row>
    <row r="225" spans="1:7" ht="38.25">
      <c r="A225" s="77" t="s">
        <v>1201</v>
      </c>
      <c r="B225" s="6" t="s">
        <v>888</v>
      </c>
      <c r="C225" s="6" t="s">
        <v>889</v>
      </c>
      <c r="D225" s="77" t="s">
        <v>102</v>
      </c>
      <c r="E225" s="12">
        <v>122</v>
      </c>
      <c r="F225" s="12"/>
      <c r="G225" s="12">
        <f>E225*F225</f>
        <v>0</v>
      </c>
    </row>
    <row r="226" spans="1:7" ht="38.25">
      <c r="A226" s="77" t="s">
        <v>1202</v>
      </c>
      <c r="B226" s="6" t="s">
        <v>911</v>
      </c>
      <c r="C226" s="6" t="s">
        <v>912</v>
      </c>
      <c r="D226" s="77" t="s">
        <v>93</v>
      </c>
      <c r="E226" s="12">
        <v>100</v>
      </c>
      <c r="F226" s="12"/>
      <c r="G226" s="12">
        <f t="shared" ref="G226:G227" si="13">E226*F226</f>
        <v>0</v>
      </c>
    </row>
    <row r="227" spans="1:7" ht="25.5">
      <c r="A227" s="77" t="s">
        <v>1203</v>
      </c>
      <c r="B227" s="6" t="s">
        <v>911</v>
      </c>
      <c r="C227" s="6" t="s">
        <v>913</v>
      </c>
      <c r="D227" s="77" t="s">
        <v>93</v>
      </c>
      <c r="E227" s="12">
        <v>450</v>
      </c>
      <c r="F227" s="12"/>
      <c r="G227" s="12">
        <f t="shared" si="13"/>
        <v>0</v>
      </c>
    </row>
    <row r="228" spans="1:7">
      <c r="A228" s="37">
        <v>2</v>
      </c>
      <c r="B228" s="148" t="s">
        <v>1089</v>
      </c>
      <c r="C228" s="149"/>
      <c r="D228" s="37"/>
      <c r="E228" s="44"/>
      <c r="F228" s="44"/>
      <c r="G228" s="44">
        <f>SUM(G229:G247)</f>
        <v>0</v>
      </c>
    </row>
    <row r="229" spans="1:7">
      <c r="A229" s="77" t="s">
        <v>95</v>
      </c>
      <c r="B229" s="6" t="s">
        <v>1090</v>
      </c>
      <c r="C229" s="6" t="s">
        <v>1091</v>
      </c>
      <c r="D229" s="77" t="s">
        <v>102</v>
      </c>
      <c r="E229" s="12">
        <v>1</v>
      </c>
      <c r="F229" s="12"/>
      <c r="G229" s="12">
        <f t="shared" ref="G229:G247" si="14">E229*F229</f>
        <v>0</v>
      </c>
    </row>
    <row r="230" spans="1:7">
      <c r="A230" s="77" t="s">
        <v>108</v>
      </c>
      <c r="B230" s="6" t="s">
        <v>1092</v>
      </c>
      <c r="C230" s="6" t="s">
        <v>1093</v>
      </c>
      <c r="D230" s="77" t="s">
        <v>102</v>
      </c>
      <c r="E230" s="12">
        <v>1</v>
      </c>
      <c r="F230" s="12"/>
      <c r="G230" s="12">
        <f t="shared" si="14"/>
        <v>0</v>
      </c>
    </row>
    <row r="231" spans="1:7" ht="25.5">
      <c r="A231" s="77" t="s">
        <v>111</v>
      </c>
      <c r="B231" s="6" t="s">
        <v>1094</v>
      </c>
      <c r="C231" s="6" t="s">
        <v>1095</v>
      </c>
      <c r="D231" s="77" t="s">
        <v>102</v>
      </c>
      <c r="E231" s="12">
        <v>2</v>
      </c>
      <c r="F231" s="12"/>
      <c r="G231" s="12">
        <f t="shared" si="14"/>
        <v>0</v>
      </c>
    </row>
    <row r="232" spans="1:7" ht="25.5">
      <c r="A232" s="77" t="s">
        <v>124</v>
      </c>
      <c r="B232" s="6" t="s">
        <v>1096</v>
      </c>
      <c r="C232" s="6" t="s">
        <v>1935</v>
      </c>
      <c r="D232" s="77" t="s">
        <v>102</v>
      </c>
      <c r="E232" s="12">
        <v>8</v>
      </c>
      <c r="F232" s="12"/>
      <c r="G232" s="12">
        <f t="shared" si="14"/>
        <v>0</v>
      </c>
    </row>
    <row r="233" spans="1:7">
      <c r="A233" s="77" t="s">
        <v>145</v>
      </c>
      <c r="B233" s="6" t="s">
        <v>1097</v>
      </c>
      <c r="C233" s="6" t="s">
        <v>1098</v>
      </c>
      <c r="D233" s="77" t="s">
        <v>102</v>
      </c>
      <c r="E233" s="12">
        <v>1</v>
      </c>
      <c r="F233" s="12"/>
      <c r="G233" s="12">
        <f t="shared" si="14"/>
        <v>0</v>
      </c>
    </row>
    <row r="234" spans="1:7">
      <c r="A234" s="77" t="s">
        <v>1513</v>
      </c>
      <c r="B234" s="6" t="s">
        <v>909</v>
      </c>
      <c r="C234" s="6" t="s">
        <v>910</v>
      </c>
      <c r="D234" s="77" t="s">
        <v>93</v>
      </c>
      <c r="E234" s="12">
        <v>235</v>
      </c>
      <c r="F234" s="12"/>
      <c r="G234" s="12">
        <f t="shared" si="14"/>
        <v>0</v>
      </c>
    </row>
    <row r="235" spans="1:7" ht="25.5">
      <c r="A235" s="77" t="s">
        <v>1514</v>
      </c>
      <c r="B235" s="6" t="s">
        <v>924</v>
      </c>
      <c r="C235" s="6" t="s">
        <v>990</v>
      </c>
      <c r="D235" s="77" t="s">
        <v>93</v>
      </c>
      <c r="E235" s="12">
        <v>60</v>
      </c>
      <c r="F235" s="12"/>
      <c r="G235" s="12">
        <f t="shared" si="14"/>
        <v>0</v>
      </c>
    </row>
    <row r="236" spans="1:7" ht="25.5">
      <c r="A236" s="77" t="s">
        <v>1515</v>
      </c>
      <c r="B236" s="6" t="s">
        <v>911</v>
      </c>
      <c r="C236" s="6" t="s">
        <v>1099</v>
      </c>
      <c r="D236" s="77" t="s">
        <v>93</v>
      </c>
      <c r="E236" s="12">
        <v>30</v>
      </c>
      <c r="F236" s="12"/>
      <c r="G236" s="12">
        <f t="shared" si="14"/>
        <v>0</v>
      </c>
    </row>
    <row r="237" spans="1:7" ht="25.5">
      <c r="A237" s="77" t="s">
        <v>1516</v>
      </c>
      <c r="B237" s="6" t="s">
        <v>911</v>
      </c>
      <c r="C237" s="6" t="s">
        <v>1100</v>
      </c>
      <c r="D237" s="77" t="s">
        <v>93</v>
      </c>
      <c r="E237" s="12">
        <v>60</v>
      </c>
      <c r="F237" s="12"/>
      <c r="G237" s="12">
        <f t="shared" si="14"/>
        <v>0</v>
      </c>
    </row>
    <row r="238" spans="1:7" ht="25.5">
      <c r="A238" s="77" t="s">
        <v>1517</v>
      </c>
      <c r="B238" s="6" t="s">
        <v>911</v>
      </c>
      <c r="C238" s="6" t="s">
        <v>1101</v>
      </c>
      <c r="D238" s="77" t="s">
        <v>93</v>
      </c>
      <c r="E238" s="12">
        <v>25</v>
      </c>
      <c r="F238" s="12"/>
      <c r="G238" s="12">
        <f t="shared" si="14"/>
        <v>0</v>
      </c>
    </row>
    <row r="239" spans="1:7" ht="25.5">
      <c r="A239" s="77" t="s">
        <v>1620</v>
      </c>
      <c r="B239" s="6" t="s">
        <v>1059</v>
      </c>
      <c r="C239" s="6" t="s">
        <v>1060</v>
      </c>
      <c r="D239" s="77" t="s">
        <v>93</v>
      </c>
      <c r="E239" s="12">
        <v>60</v>
      </c>
      <c r="F239" s="12"/>
      <c r="G239" s="12">
        <f t="shared" si="14"/>
        <v>0</v>
      </c>
    </row>
    <row r="240" spans="1:7">
      <c r="A240" s="77" t="s">
        <v>1621</v>
      </c>
      <c r="B240" s="6" t="s">
        <v>1102</v>
      </c>
      <c r="C240" s="6" t="s">
        <v>1103</v>
      </c>
      <c r="D240" s="77" t="s">
        <v>93</v>
      </c>
      <c r="E240" s="12">
        <v>30</v>
      </c>
      <c r="F240" s="12"/>
      <c r="G240" s="12">
        <f t="shared" si="14"/>
        <v>0</v>
      </c>
    </row>
    <row r="241" spans="1:7" ht="25.5">
      <c r="A241" s="77" t="s">
        <v>1622</v>
      </c>
      <c r="B241" s="6" t="s">
        <v>1104</v>
      </c>
      <c r="C241" s="6" t="s">
        <v>1105</v>
      </c>
      <c r="D241" s="77" t="s">
        <v>93</v>
      </c>
      <c r="E241" s="12">
        <v>70</v>
      </c>
      <c r="F241" s="12"/>
      <c r="G241" s="12">
        <f t="shared" si="14"/>
        <v>0</v>
      </c>
    </row>
    <row r="242" spans="1:7" ht="25.5">
      <c r="A242" s="77" t="s">
        <v>1623</v>
      </c>
      <c r="B242" s="6" t="s">
        <v>1106</v>
      </c>
      <c r="C242" s="6" t="s">
        <v>1107</v>
      </c>
      <c r="D242" s="77" t="s">
        <v>93</v>
      </c>
      <c r="E242" s="12">
        <v>80</v>
      </c>
      <c r="F242" s="12"/>
      <c r="G242" s="12">
        <f t="shared" si="14"/>
        <v>0</v>
      </c>
    </row>
    <row r="243" spans="1:7" ht="25.5">
      <c r="A243" s="77" t="s">
        <v>1624</v>
      </c>
      <c r="B243" s="6" t="s">
        <v>1106</v>
      </c>
      <c r="C243" s="6" t="s">
        <v>1108</v>
      </c>
      <c r="D243" s="77" t="s">
        <v>93</v>
      </c>
      <c r="E243" s="12">
        <v>80</v>
      </c>
      <c r="F243" s="12"/>
      <c r="G243" s="12">
        <f t="shared" si="14"/>
        <v>0</v>
      </c>
    </row>
    <row r="244" spans="1:7" ht="25.5">
      <c r="A244" s="77" t="s">
        <v>1625</v>
      </c>
      <c r="B244" s="6" t="s">
        <v>1109</v>
      </c>
      <c r="C244" s="6" t="s">
        <v>1110</v>
      </c>
      <c r="D244" s="77" t="s">
        <v>102</v>
      </c>
      <c r="E244" s="12">
        <f>8*2</f>
        <v>16</v>
      </c>
      <c r="F244" s="12"/>
      <c r="G244" s="12">
        <f t="shared" si="14"/>
        <v>0</v>
      </c>
    </row>
    <row r="245" spans="1:7">
      <c r="A245" s="77" t="s">
        <v>1626</v>
      </c>
      <c r="B245" s="6" t="s">
        <v>1111</v>
      </c>
      <c r="C245" s="6" t="s">
        <v>1112</v>
      </c>
      <c r="D245" s="77" t="s">
        <v>93</v>
      </c>
      <c r="E245" s="12">
        <v>70</v>
      </c>
      <c r="F245" s="12"/>
      <c r="G245" s="12">
        <f t="shared" si="14"/>
        <v>0</v>
      </c>
    </row>
    <row r="246" spans="1:7" ht="38.25">
      <c r="A246" s="77" t="s">
        <v>1627</v>
      </c>
      <c r="B246" s="6" t="s">
        <v>1113</v>
      </c>
      <c r="C246" s="6" t="s">
        <v>1114</v>
      </c>
      <c r="D246" s="77" t="s">
        <v>1115</v>
      </c>
      <c r="E246" s="12">
        <v>2</v>
      </c>
      <c r="F246" s="12"/>
      <c r="G246" s="12">
        <f t="shared" si="14"/>
        <v>0</v>
      </c>
    </row>
    <row r="247" spans="1:7" ht="25.5">
      <c r="A247" s="77" t="s">
        <v>1628</v>
      </c>
      <c r="B247" s="6" t="s">
        <v>1116</v>
      </c>
      <c r="C247" s="6" t="s">
        <v>1117</v>
      </c>
      <c r="D247" s="77" t="s">
        <v>401</v>
      </c>
      <c r="E247" s="12">
        <v>1</v>
      </c>
      <c r="F247" s="12"/>
      <c r="G247" s="12">
        <f t="shared" si="14"/>
        <v>0</v>
      </c>
    </row>
    <row r="248" spans="1:7" ht="33.75" customHeight="1">
      <c r="A248" s="86"/>
      <c r="B248" s="87"/>
      <c r="C248" s="87"/>
      <c r="D248" s="143" t="s">
        <v>1884</v>
      </c>
      <c r="E248" s="143"/>
      <c r="F248" s="143"/>
      <c r="G248" s="88">
        <f>SUM(G219,G99,G2)</f>
        <v>0</v>
      </c>
    </row>
    <row r="249" spans="1:7" ht="15.75">
      <c r="A249" s="86"/>
      <c r="B249" s="87"/>
      <c r="C249" s="87"/>
      <c r="D249" s="147" t="s">
        <v>1885</v>
      </c>
      <c r="E249" s="147"/>
      <c r="F249" s="147"/>
      <c r="G249" s="88">
        <f>G248*23%</f>
        <v>0</v>
      </c>
    </row>
    <row r="250" spans="1:7" ht="40.5" customHeight="1">
      <c r="A250" s="86"/>
      <c r="B250" s="87"/>
      <c r="C250" s="87"/>
      <c r="D250" s="143" t="s">
        <v>1886</v>
      </c>
      <c r="E250" s="143"/>
      <c r="F250" s="143"/>
      <c r="G250" s="88">
        <f>G248+G249</f>
        <v>0</v>
      </c>
    </row>
    <row r="253" spans="1:7" ht="15">
      <c r="E253" s="24"/>
      <c r="F253" s="99" t="s">
        <v>1957</v>
      </c>
      <c r="G253" s="93"/>
    </row>
    <row r="254" spans="1:7">
      <c r="E254" s="137" t="s">
        <v>1958</v>
      </c>
      <c r="F254" s="137"/>
      <c r="G254" s="137"/>
    </row>
  </sheetData>
  <mergeCells count="25">
    <mergeCell ref="E254:G254"/>
    <mergeCell ref="D250:F250"/>
    <mergeCell ref="A219:C219"/>
    <mergeCell ref="A2:C2"/>
    <mergeCell ref="D248:F248"/>
    <mergeCell ref="D249:F249"/>
    <mergeCell ref="B208:C208"/>
    <mergeCell ref="A99:C99"/>
    <mergeCell ref="B220:C220"/>
    <mergeCell ref="B228:C228"/>
    <mergeCell ref="B101:C101"/>
    <mergeCell ref="B163:C163"/>
    <mergeCell ref="B170:C170"/>
    <mergeCell ref="B171:C171"/>
    <mergeCell ref="B201:C201"/>
    <mergeCell ref="B3:C3"/>
    <mergeCell ref="B75:C75"/>
    <mergeCell ref="B93:C93"/>
    <mergeCell ref="B65:C65"/>
    <mergeCell ref="B86:C86"/>
    <mergeCell ref="B9:C9"/>
    <mergeCell ref="B30:C30"/>
    <mergeCell ref="B51:C51"/>
    <mergeCell ref="B59:C59"/>
    <mergeCell ref="B78:C78"/>
  </mergeCells>
  <printOptions horizontalCentered="1"/>
  <pageMargins left="0.15748031496062992" right="0.15748031496062992" top="0.74803149606299213" bottom="0.74803149606299213" header="0.31496062992125984" footer="0.31496062992125984"/>
  <pageSetup paperSize="9" scale="80" orientation="portrait" horizontalDpi="4294967293" r:id="rId1"/>
  <headerFooter>
    <oddHeader>&amp;LNr sprawy: BZPiFZ.271.4.2019&amp;CTermomodernizacja budynku nr 4 przy placu Jana Pawła II</oddHeader>
    <oddFooter>&amp;L&amp;A&amp;R&amp;P/&amp;N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0"/>
  <sheetViews>
    <sheetView view="pageBreakPreview" topLeftCell="A133" zoomScaleNormal="100" zoomScaleSheetLayoutView="100" workbookViewId="0">
      <selection activeCell="G646" sqref="G646"/>
    </sheetView>
  </sheetViews>
  <sheetFormatPr defaultRowHeight="12.75"/>
  <cols>
    <col min="1" max="1" width="5.875" style="3" customWidth="1"/>
    <col min="2" max="2" width="14.375" style="4" customWidth="1"/>
    <col min="3" max="3" width="47.5" style="4" customWidth="1"/>
    <col min="4" max="4" width="5.875" style="3" customWidth="1"/>
    <col min="5" max="5" width="10.625" style="124" customWidth="1"/>
    <col min="6" max="6" width="11" style="14" bestFit="1" customWidth="1"/>
    <col min="7" max="7" width="14.125" style="14" customWidth="1"/>
    <col min="8" max="8" width="12.25" style="1" bestFit="1" customWidth="1"/>
    <col min="9" max="9" width="57.5" style="1" customWidth="1"/>
    <col min="10" max="16384" width="9" style="1"/>
  </cols>
  <sheetData>
    <row r="1" spans="1:7" ht="25.5">
      <c r="A1" s="10" t="s">
        <v>0</v>
      </c>
      <c r="B1" s="11" t="s">
        <v>1</v>
      </c>
      <c r="C1" s="11" t="s">
        <v>2</v>
      </c>
      <c r="D1" s="11" t="s">
        <v>1199</v>
      </c>
      <c r="E1" s="115" t="s">
        <v>3</v>
      </c>
      <c r="F1" s="15" t="s">
        <v>873</v>
      </c>
      <c r="G1" s="15" t="s">
        <v>874</v>
      </c>
    </row>
    <row r="2" spans="1:7" ht="27" customHeight="1">
      <c r="A2" s="144" t="s">
        <v>2004</v>
      </c>
      <c r="B2" s="145"/>
      <c r="C2" s="146"/>
      <c r="D2" s="103"/>
      <c r="E2" s="116"/>
      <c r="F2" s="85"/>
      <c r="G2" s="85">
        <f>SUM(G3:G6)</f>
        <v>0</v>
      </c>
    </row>
    <row r="3" spans="1:7" ht="25.5">
      <c r="A3" s="77">
        <v>1</v>
      </c>
      <c r="B3" s="7" t="s">
        <v>1009</v>
      </c>
      <c r="C3" s="50" t="s">
        <v>2005</v>
      </c>
      <c r="D3" s="7" t="s">
        <v>7</v>
      </c>
      <c r="E3" s="117">
        <v>3</v>
      </c>
      <c r="F3" s="104"/>
      <c r="G3" s="104">
        <f>E3*F3</f>
        <v>0</v>
      </c>
    </row>
    <row r="4" spans="1:7" ht="51">
      <c r="A4" s="77">
        <v>2</v>
      </c>
      <c r="B4" s="7" t="s">
        <v>1009</v>
      </c>
      <c r="C4" s="50" t="s">
        <v>2055</v>
      </c>
      <c r="D4" s="7" t="s">
        <v>162</v>
      </c>
      <c r="E4" s="117">
        <v>1</v>
      </c>
      <c r="F4" s="104"/>
      <c r="G4" s="104">
        <f t="shared" ref="G4:G6" si="0">E4*F4</f>
        <v>0</v>
      </c>
    </row>
    <row r="5" spans="1:7" ht="38.25">
      <c r="A5" s="77">
        <v>3</v>
      </c>
      <c r="B5" s="7" t="s">
        <v>1009</v>
      </c>
      <c r="C5" s="50" t="s">
        <v>2054</v>
      </c>
      <c r="D5" s="7" t="s">
        <v>162</v>
      </c>
      <c r="E5" s="117">
        <v>1</v>
      </c>
      <c r="F5" s="104"/>
      <c r="G5" s="104">
        <f t="shared" si="0"/>
        <v>0</v>
      </c>
    </row>
    <row r="6" spans="1:7" ht="51">
      <c r="A6" s="77">
        <v>4</v>
      </c>
      <c r="B6" s="6" t="s">
        <v>822</v>
      </c>
      <c r="C6" s="6" t="s">
        <v>2056</v>
      </c>
      <c r="D6" s="77" t="s">
        <v>162</v>
      </c>
      <c r="E6" s="114">
        <v>1</v>
      </c>
      <c r="F6" s="104"/>
      <c r="G6" s="104">
        <f t="shared" si="0"/>
        <v>0</v>
      </c>
    </row>
    <row r="7" spans="1:7" ht="27" customHeight="1">
      <c r="A7" s="144" t="s">
        <v>502</v>
      </c>
      <c r="B7" s="145"/>
      <c r="C7" s="146"/>
      <c r="D7" s="84"/>
      <c r="E7" s="116"/>
      <c r="F7" s="85"/>
      <c r="G7" s="85">
        <f>SUM(G8,G87,G121,G171,G222,G268,G302,G316,G337,G350,G359)</f>
        <v>0</v>
      </c>
    </row>
    <row r="8" spans="1:7" ht="21.75" customHeight="1">
      <c r="A8" s="41">
        <v>1</v>
      </c>
      <c r="B8" s="148" t="s">
        <v>4</v>
      </c>
      <c r="C8" s="149"/>
      <c r="D8" s="41"/>
      <c r="E8" s="118"/>
      <c r="F8" s="42"/>
      <c r="G8" s="39">
        <f>SUM(G9:G86)</f>
        <v>0</v>
      </c>
    </row>
    <row r="9" spans="1:7">
      <c r="A9" s="30" t="s">
        <v>380</v>
      </c>
      <c r="B9" s="6" t="s">
        <v>5</v>
      </c>
      <c r="C9" s="6" t="s">
        <v>6</v>
      </c>
      <c r="D9" s="28" t="s">
        <v>7</v>
      </c>
      <c r="E9" s="119">
        <f>8.53*0.8*0.1</f>
        <v>0.68240000000000001</v>
      </c>
      <c r="F9" s="12"/>
      <c r="G9" s="12">
        <f>E9*F9</f>
        <v>0</v>
      </c>
    </row>
    <row r="10" spans="1:7" ht="25.5">
      <c r="A10" s="30" t="s">
        <v>398</v>
      </c>
      <c r="B10" s="6" t="s">
        <v>5</v>
      </c>
      <c r="C10" s="6" t="s">
        <v>8</v>
      </c>
      <c r="D10" s="28" t="s">
        <v>7</v>
      </c>
      <c r="E10" s="114">
        <f>0.65*0.68*0.1+0.78*1.4*0.1+0.9*0.92*0.1+0.55*1.01*0.1</f>
        <v>0.29175000000000006</v>
      </c>
      <c r="F10" s="12"/>
      <c r="G10" s="12">
        <f t="shared" ref="G10:G73" si="1">E10*F10</f>
        <v>0</v>
      </c>
    </row>
    <row r="11" spans="1:7">
      <c r="A11" s="30" t="s">
        <v>501</v>
      </c>
      <c r="B11" s="6" t="s">
        <v>5</v>
      </c>
      <c r="C11" s="6" t="s">
        <v>9</v>
      </c>
      <c r="D11" s="28" t="s">
        <v>7</v>
      </c>
      <c r="E11" s="114">
        <f>2.2*3.58*0.1+3.22*4.55*0.1+6.7*2.2*0.1+5.7*1.8*0.1</f>
        <v>4.7527000000000008</v>
      </c>
      <c r="F11" s="12"/>
      <c r="G11" s="12">
        <f t="shared" si="1"/>
        <v>0</v>
      </c>
    </row>
    <row r="12" spans="1:7" ht="25.5">
      <c r="A12" s="30" t="s">
        <v>1200</v>
      </c>
      <c r="B12" s="6" t="s">
        <v>5</v>
      </c>
      <c r="C12" s="6" t="s">
        <v>10</v>
      </c>
      <c r="D12" s="28" t="s">
        <v>7</v>
      </c>
      <c r="E12" s="114">
        <f>52.7*1.2*0.1+6*1.2*0.1</f>
        <v>7.0440000000000005</v>
      </c>
      <c r="F12" s="12"/>
      <c r="G12" s="12">
        <f t="shared" si="1"/>
        <v>0</v>
      </c>
    </row>
    <row r="13" spans="1:7" ht="25.5">
      <c r="A13" s="30" t="s">
        <v>1201</v>
      </c>
      <c r="B13" s="6" t="s">
        <v>11</v>
      </c>
      <c r="C13" s="6" t="s">
        <v>12</v>
      </c>
      <c r="D13" s="28" t="s">
        <v>7</v>
      </c>
      <c r="E13" s="114">
        <f>8.53*0.6*0.4</f>
        <v>2.0471999999999997</v>
      </c>
      <c r="F13" s="12"/>
      <c r="G13" s="12">
        <f t="shared" si="1"/>
        <v>0</v>
      </c>
    </row>
    <row r="14" spans="1:7" ht="25.5">
      <c r="A14" s="30" t="s">
        <v>1202</v>
      </c>
      <c r="B14" s="6" t="s">
        <v>11</v>
      </c>
      <c r="C14" s="6" t="s">
        <v>13</v>
      </c>
      <c r="D14" s="28" t="s">
        <v>7</v>
      </c>
      <c r="E14" s="114">
        <f>0.45*0.48*0.4+0.56*1.2*0.4+0.7*0.72*0.4+0.35*0.81*0.4</f>
        <v>0.67020000000000013</v>
      </c>
      <c r="F14" s="12"/>
      <c r="G14" s="12">
        <f t="shared" si="1"/>
        <v>0</v>
      </c>
    </row>
    <row r="15" spans="1:7" ht="25.5">
      <c r="A15" s="30" t="s">
        <v>1203</v>
      </c>
      <c r="B15" s="6" t="s">
        <v>14</v>
      </c>
      <c r="C15" s="6" t="s">
        <v>15</v>
      </c>
      <c r="D15" s="28" t="s">
        <v>7</v>
      </c>
      <c r="E15" s="114">
        <f>3.02*4.33*0.7+4.38*2*0.7</f>
        <v>15.28562</v>
      </c>
      <c r="F15" s="12"/>
      <c r="G15" s="12">
        <f t="shared" si="1"/>
        <v>0</v>
      </c>
    </row>
    <row r="16" spans="1:7" ht="25.5">
      <c r="A16" s="30" t="s">
        <v>1204</v>
      </c>
      <c r="B16" s="6" t="s">
        <v>14</v>
      </c>
      <c r="C16" s="6" t="s">
        <v>16</v>
      </c>
      <c r="D16" s="28" t="s">
        <v>7</v>
      </c>
      <c r="E16" s="114">
        <f>6.5*2*0.7</f>
        <v>9.1</v>
      </c>
      <c r="F16" s="12"/>
      <c r="G16" s="12">
        <f t="shared" si="1"/>
        <v>0</v>
      </c>
    </row>
    <row r="17" spans="1:7" ht="25.5">
      <c r="A17" s="30" t="s">
        <v>1205</v>
      </c>
      <c r="B17" s="6" t="s">
        <v>14</v>
      </c>
      <c r="C17" s="6" t="s">
        <v>17</v>
      </c>
      <c r="D17" s="28" t="s">
        <v>7</v>
      </c>
      <c r="E17" s="114">
        <f>5.5*1.6*0.7</f>
        <v>6.16</v>
      </c>
      <c r="F17" s="12"/>
      <c r="G17" s="12">
        <f t="shared" si="1"/>
        <v>0</v>
      </c>
    </row>
    <row r="18" spans="1:7" ht="25.5">
      <c r="A18" s="30" t="s">
        <v>1206</v>
      </c>
      <c r="B18" s="111" t="s">
        <v>1009</v>
      </c>
      <c r="C18" s="6" t="s">
        <v>1983</v>
      </c>
      <c r="D18" s="28" t="s">
        <v>7</v>
      </c>
      <c r="E18" s="114">
        <f>0.5*52.7+0.8*6</f>
        <v>31.150000000000002</v>
      </c>
      <c r="F18" s="12"/>
      <c r="G18" s="12">
        <f t="shared" si="1"/>
        <v>0</v>
      </c>
    </row>
    <row r="19" spans="1:7" ht="25.5">
      <c r="A19" s="30" t="s">
        <v>1207</v>
      </c>
      <c r="B19" s="6" t="s">
        <v>18</v>
      </c>
      <c r="C19" s="6" t="s">
        <v>19</v>
      </c>
      <c r="D19" s="28" t="s">
        <v>20</v>
      </c>
      <c r="E19" s="114">
        <f>5.14*2.5</f>
        <v>12.85</v>
      </c>
      <c r="F19" s="12"/>
      <c r="G19" s="12">
        <f t="shared" si="1"/>
        <v>0</v>
      </c>
    </row>
    <row r="20" spans="1:7" ht="25.5">
      <c r="A20" s="30" t="s">
        <v>1208</v>
      </c>
      <c r="B20" s="6" t="s">
        <v>21</v>
      </c>
      <c r="C20" s="6" t="s">
        <v>22</v>
      </c>
      <c r="D20" s="28" t="s">
        <v>20</v>
      </c>
      <c r="E20" s="114">
        <f>5.14*2.5</f>
        <v>12.85</v>
      </c>
      <c r="F20" s="12"/>
      <c r="G20" s="12">
        <f t="shared" si="1"/>
        <v>0</v>
      </c>
    </row>
    <row r="21" spans="1:7" ht="38.25">
      <c r="A21" s="30" t="s">
        <v>1209</v>
      </c>
      <c r="B21" s="6" t="s">
        <v>23</v>
      </c>
      <c r="C21" s="6" t="s">
        <v>24</v>
      </c>
      <c r="D21" s="28" t="s">
        <v>7</v>
      </c>
      <c r="E21" s="114">
        <f>0.3*0.3*2.3*8</f>
        <v>1.6559999999999999</v>
      </c>
      <c r="F21" s="12"/>
      <c r="G21" s="12">
        <f t="shared" si="1"/>
        <v>0</v>
      </c>
    </row>
    <row r="22" spans="1:7" ht="25.5">
      <c r="A22" s="30" t="s">
        <v>1210</v>
      </c>
      <c r="B22" s="6" t="s">
        <v>25</v>
      </c>
      <c r="C22" s="6" t="s">
        <v>26</v>
      </c>
      <c r="D22" s="28" t="s">
        <v>27</v>
      </c>
      <c r="E22" s="114">
        <f>13/1000</f>
        <v>1.2999999999999999E-2</v>
      </c>
      <c r="F22" s="12"/>
      <c r="G22" s="12">
        <f t="shared" si="1"/>
        <v>0</v>
      </c>
    </row>
    <row r="23" spans="1:7" ht="25.5">
      <c r="A23" s="30" t="s">
        <v>1211</v>
      </c>
      <c r="B23" s="6" t="s">
        <v>28</v>
      </c>
      <c r="C23" s="6" t="s">
        <v>29</v>
      </c>
      <c r="D23" s="28" t="s">
        <v>27</v>
      </c>
      <c r="E23" s="114">
        <f>(9+30)/1000</f>
        <v>3.9E-2</v>
      </c>
      <c r="F23" s="12"/>
      <c r="G23" s="12">
        <f t="shared" si="1"/>
        <v>0</v>
      </c>
    </row>
    <row r="24" spans="1:7" ht="25.5">
      <c r="A24" s="30" t="s">
        <v>1212</v>
      </c>
      <c r="B24" s="6" t="s">
        <v>28</v>
      </c>
      <c r="C24" s="6" t="s">
        <v>30</v>
      </c>
      <c r="D24" s="28" t="s">
        <v>27</v>
      </c>
      <c r="E24" s="114">
        <f>(2172+507+444)/1000</f>
        <v>3.1230000000000002</v>
      </c>
      <c r="F24" s="12"/>
      <c r="G24" s="12">
        <f t="shared" si="1"/>
        <v>0</v>
      </c>
    </row>
    <row r="25" spans="1:7" ht="25.5">
      <c r="A25" s="30" t="s">
        <v>1213</v>
      </c>
      <c r="B25" s="6" t="s">
        <v>28</v>
      </c>
      <c r="C25" s="6" t="s">
        <v>31</v>
      </c>
      <c r="D25" s="28" t="s">
        <v>27</v>
      </c>
      <c r="E25" s="114">
        <f>(341+312)/1000</f>
        <v>0.65300000000000002</v>
      </c>
      <c r="F25" s="12"/>
      <c r="G25" s="12">
        <f t="shared" si="1"/>
        <v>0</v>
      </c>
    </row>
    <row r="26" spans="1:7" ht="25.5">
      <c r="A26" s="30" t="s">
        <v>1214</v>
      </c>
      <c r="B26" s="6" t="s">
        <v>28</v>
      </c>
      <c r="C26" s="6" t="s">
        <v>31</v>
      </c>
      <c r="D26" s="28" t="s">
        <v>27</v>
      </c>
      <c r="E26" s="114">
        <f>(485+1438)/1000</f>
        <v>1.923</v>
      </c>
      <c r="F26" s="12"/>
      <c r="G26" s="12">
        <f t="shared" si="1"/>
        <v>0</v>
      </c>
    </row>
    <row r="27" spans="1:7" ht="25.5">
      <c r="A27" s="30" t="s">
        <v>1215</v>
      </c>
      <c r="B27" s="6" t="s">
        <v>32</v>
      </c>
      <c r="C27" s="6" t="s">
        <v>33</v>
      </c>
      <c r="D27" s="28" t="s">
        <v>20</v>
      </c>
      <c r="E27" s="114">
        <f>(33.86*2+26*2)-(2.65*4)</f>
        <v>109.12</v>
      </c>
      <c r="F27" s="12"/>
      <c r="G27" s="12">
        <f t="shared" si="1"/>
        <v>0</v>
      </c>
    </row>
    <row r="28" spans="1:7" ht="38.25">
      <c r="A28" s="30" t="s">
        <v>1216</v>
      </c>
      <c r="B28" s="6" t="s">
        <v>34</v>
      </c>
      <c r="C28" s="6" t="s">
        <v>35</v>
      </c>
      <c r="D28" s="28" t="s">
        <v>20</v>
      </c>
      <c r="E28" s="114">
        <f>(33.86*2+26*2)-(2.65*4)</f>
        <v>109.12</v>
      </c>
      <c r="F28" s="12"/>
      <c r="G28" s="12">
        <f t="shared" si="1"/>
        <v>0</v>
      </c>
    </row>
    <row r="29" spans="1:7" ht="25.5">
      <c r="A29" s="30" t="s">
        <v>1217</v>
      </c>
      <c r="B29" s="6" t="s">
        <v>36</v>
      </c>
      <c r="C29" s="6" t="s">
        <v>37</v>
      </c>
      <c r="D29" s="28" t="s">
        <v>20</v>
      </c>
      <c r="E29" s="114">
        <f>2.42*2.15</f>
        <v>5.2029999999999994</v>
      </c>
      <c r="F29" s="12"/>
      <c r="G29" s="12">
        <f t="shared" si="1"/>
        <v>0</v>
      </c>
    </row>
    <row r="30" spans="1:7" ht="38.25">
      <c r="A30" s="30" t="s">
        <v>1218</v>
      </c>
      <c r="B30" s="6" t="s">
        <v>38</v>
      </c>
      <c r="C30" s="6" t="s">
        <v>39</v>
      </c>
      <c r="D30" s="28" t="s">
        <v>20</v>
      </c>
      <c r="E30" s="114">
        <f>2.42*2.15</f>
        <v>5.2029999999999994</v>
      </c>
      <c r="F30" s="12"/>
      <c r="G30" s="12">
        <f t="shared" si="1"/>
        <v>0</v>
      </c>
    </row>
    <row r="31" spans="1:7" ht="25.5">
      <c r="A31" s="30" t="s">
        <v>1219</v>
      </c>
      <c r="B31" s="6" t="s">
        <v>28</v>
      </c>
      <c r="C31" s="6" t="s">
        <v>29</v>
      </c>
      <c r="D31" s="28" t="s">
        <v>27</v>
      </c>
      <c r="E31" s="114">
        <f>23/1000</f>
        <v>2.3E-2</v>
      </c>
      <c r="F31" s="12"/>
      <c r="G31" s="12">
        <f t="shared" si="1"/>
        <v>0</v>
      </c>
    </row>
    <row r="32" spans="1:7" ht="25.5">
      <c r="A32" s="30" t="s">
        <v>1220</v>
      </c>
      <c r="B32" s="6" t="s">
        <v>28</v>
      </c>
      <c r="C32" s="6" t="s">
        <v>30</v>
      </c>
      <c r="D32" s="28" t="s">
        <v>27</v>
      </c>
      <c r="E32" s="114">
        <f>33.14/1000</f>
        <v>3.3140000000000003E-2</v>
      </c>
      <c r="F32" s="12"/>
      <c r="G32" s="12">
        <f t="shared" si="1"/>
        <v>0</v>
      </c>
    </row>
    <row r="33" spans="1:7" ht="38.25">
      <c r="A33" s="30" t="s">
        <v>1221</v>
      </c>
      <c r="B33" s="6" t="s">
        <v>23</v>
      </c>
      <c r="C33" s="6" t="s">
        <v>40</v>
      </c>
      <c r="D33" s="28" t="s">
        <v>7</v>
      </c>
      <c r="E33" s="114">
        <f>0.3*0.3*3.28*8</f>
        <v>2.3615999999999997</v>
      </c>
      <c r="F33" s="12"/>
      <c r="G33" s="12">
        <f t="shared" si="1"/>
        <v>0</v>
      </c>
    </row>
    <row r="34" spans="1:7" ht="38.25">
      <c r="A34" s="30" t="s">
        <v>1222</v>
      </c>
      <c r="B34" s="6" t="s">
        <v>23</v>
      </c>
      <c r="C34" s="6" t="s">
        <v>41</v>
      </c>
      <c r="D34" s="28" t="s">
        <v>7</v>
      </c>
      <c r="E34" s="114">
        <f>0.3*0.3*3.42*8</f>
        <v>2.4623999999999997</v>
      </c>
      <c r="F34" s="12"/>
      <c r="G34" s="12">
        <f t="shared" si="1"/>
        <v>0</v>
      </c>
    </row>
    <row r="35" spans="1:7" ht="25.5">
      <c r="A35" s="30" t="s">
        <v>1223</v>
      </c>
      <c r="B35" s="6" t="s">
        <v>42</v>
      </c>
      <c r="C35" s="6" t="s">
        <v>43</v>
      </c>
      <c r="D35" s="28" t="s">
        <v>7</v>
      </c>
      <c r="E35" s="114">
        <f>0.4*0.5*18.4*1</f>
        <v>3.6799999999999997</v>
      </c>
      <c r="F35" s="12"/>
      <c r="G35" s="12">
        <f t="shared" si="1"/>
        <v>0</v>
      </c>
    </row>
    <row r="36" spans="1:7" ht="25.5">
      <c r="A36" s="30" t="s">
        <v>1224</v>
      </c>
      <c r="B36" s="6" t="s">
        <v>42</v>
      </c>
      <c r="C36" s="6" t="s">
        <v>44</v>
      </c>
      <c r="D36" s="28" t="s">
        <v>7</v>
      </c>
      <c r="E36" s="114">
        <f>0.4*0.5*18.4*1</f>
        <v>3.6799999999999997</v>
      </c>
      <c r="F36" s="12"/>
      <c r="G36" s="12">
        <f t="shared" si="1"/>
        <v>0</v>
      </c>
    </row>
    <row r="37" spans="1:7" ht="25.5">
      <c r="A37" s="30" t="s">
        <v>1225</v>
      </c>
      <c r="B37" s="6" t="s">
        <v>42</v>
      </c>
      <c r="C37" s="6" t="s">
        <v>45</v>
      </c>
      <c r="D37" s="28" t="s">
        <v>7</v>
      </c>
      <c r="E37" s="114">
        <f>0.4*0.6*18.65*1</f>
        <v>4.4759999999999991</v>
      </c>
      <c r="F37" s="12"/>
      <c r="G37" s="12">
        <f t="shared" si="1"/>
        <v>0</v>
      </c>
    </row>
    <row r="38" spans="1:7" ht="25.5">
      <c r="A38" s="30" t="s">
        <v>1226</v>
      </c>
      <c r="B38" s="6" t="s">
        <v>42</v>
      </c>
      <c r="C38" s="6" t="s">
        <v>46</v>
      </c>
      <c r="D38" s="28" t="s">
        <v>7</v>
      </c>
      <c r="E38" s="114">
        <f>0.4*0.6*18.65*1</f>
        <v>4.4759999999999991</v>
      </c>
      <c r="F38" s="12"/>
      <c r="G38" s="12">
        <f t="shared" si="1"/>
        <v>0</v>
      </c>
    </row>
    <row r="39" spans="1:7" ht="25.5">
      <c r="A39" s="30" t="s">
        <v>1227</v>
      </c>
      <c r="B39" s="6" t="s">
        <v>42</v>
      </c>
      <c r="C39" s="6" t="s">
        <v>47</v>
      </c>
      <c r="D39" s="28" t="s">
        <v>7</v>
      </c>
      <c r="E39" s="114">
        <f>0.03*0.5*10.9*4</f>
        <v>0.65400000000000003</v>
      </c>
      <c r="F39" s="12"/>
      <c r="G39" s="12">
        <f t="shared" si="1"/>
        <v>0</v>
      </c>
    </row>
    <row r="40" spans="1:7" ht="25.5">
      <c r="A40" s="30" t="s">
        <v>1228</v>
      </c>
      <c r="B40" s="6" t="s">
        <v>42</v>
      </c>
      <c r="C40" s="6" t="s">
        <v>48</v>
      </c>
      <c r="D40" s="28" t="s">
        <v>7</v>
      </c>
      <c r="E40" s="114">
        <f>0.2*0.24*0.97*1</f>
        <v>4.6559999999999997E-2</v>
      </c>
      <c r="F40" s="12"/>
      <c r="G40" s="12">
        <f t="shared" si="1"/>
        <v>0</v>
      </c>
    </row>
    <row r="41" spans="1:7" ht="25.5">
      <c r="A41" s="30" t="s">
        <v>1229</v>
      </c>
      <c r="B41" s="6" t="s">
        <v>25</v>
      </c>
      <c r="C41" s="6" t="s">
        <v>26</v>
      </c>
      <c r="D41" s="28" t="s">
        <v>27</v>
      </c>
      <c r="E41" s="120">
        <f>2/1000</f>
        <v>2E-3</v>
      </c>
      <c r="F41" s="12"/>
      <c r="G41" s="12">
        <f t="shared" si="1"/>
        <v>0</v>
      </c>
    </row>
    <row r="42" spans="1:7" ht="25.5">
      <c r="A42" s="30" t="s">
        <v>1230</v>
      </c>
      <c r="B42" s="6" t="s">
        <v>28</v>
      </c>
      <c r="C42" s="6" t="s">
        <v>29</v>
      </c>
      <c r="D42" s="28" t="s">
        <v>27</v>
      </c>
      <c r="E42" s="114">
        <f>1019/1000</f>
        <v>1.0189999999999999</v>
      </c>
      <c r="F42" s="12"/>
      <c r="G42" s="12">
        <f t="shared" si="1"/>
        <v>0</v>
      </c>
    </row>
    <row r="43" spans="1:7" ht="25.5">
      <c r="A43" s="30" t="s">
        <v>1231</v>
      </c>
      <c r="B43" s="6" t="s">
        <v>28</v>
      </c>
      <c r="C43" s="6" t="s">
        <v>31</v>
      </c>
      <c r="D43" s="28" t="s">
        <v>27</v>
      </c>
      <c r="E43" s="114">
        <f>1229/1000</f>
        <v>1.2290000000000001</v>
      </c>
      <c r="F43" s="12"/>
      <c r="G43" s="12">
        <f t="shared" si="1"/>
        <v>0</v>
      </c>
    </row>
    <row r="44" spans="1:7" ht="25.5">
      <c r="A44" s="30" t="s">
        <v>1232</v>
      </c>
      <c r="B44" s="6" t="s">
        <v>28</v>
      </c>
      <c r="C44" s="6" t="s">
        <v>49</v>
      </c>
      <c r="D44" s="28" t="s">
        <v>27</v>
      </c>
      <c r="E44" s="114">
        <f>1708/1000</f>
        <v>1.708</v>
      </c>
      <c r="F44" s="12"/>
      <c r="G44" s="12">
        <f t="shared" si="1"/>
        <v>0</v>
      </c>
    </row>
    <row r="45" spans="1:7" ht="51">
      <c r="A45" s="30" t="s">
        <v>1233</v>
      </c>
      <c r="B45" s="6" t="s">
        <v>1981</v>
      </c>
      <c r="C45" s="6" t="s">
        <v>51</v>
      </c>
      <c r="D45" s="28" t="s">
        <v>7</v>
      </c>
      <c r="E45" s="114">
        <v>2.59</v>
      </c>
      <c r="F45" s="12"/>
      <c r="G45" s="12">
        <f t="shared" si="1"/>
        <v>0</v>
      </c>
    </row>
    <row r="46" spans="1:7" ht="25.5">
      <c r="A46" s="30" t="s">
        <v>1234</v>
      </c>
      <c r="B46" s="6" t="s">
        <v>32</v>
      </c>
      <c r="C46" s="6" t="s">
        <v>33</v>
      </c>
      <c r="D46" s="28" t="s">
        <v>20</v>
      </c>
      <c r="E46" s="114">
        <f>5.25*1.3</f>
        <v>6.8250000000000002</v>
      </c>
      <c r="F46" s="12"/>
      <c r="G46" s="12">
        <f t="shared" si="1"/>
        <v>0</v>
      </c>
    </row>
    <row r="47" spans="1:7" ht="38.25">
      <c r="A47" s="30" t="s">
        <v>1235</v>
      </c>
      <c r="B47" s="6" t="s">
        <v>34</v>
      </c>
      <c r="C47" s="6" t="s">
        <v>35</v>
      </c>
      <c r="D47" s="28" t="s">
        <v>20</v>
      </c>
      <c r="E47" s="114">
        <f>5.25*1.3</f>
        <v>6.8250000000000002</v>
      </c>
      <c r="F47" s="12"/>
      <c r="G47" s="12">
        <f t="shared" si="1"/>
        <v>0</v>
      </c>
    </row>
    <row r="48" spans="1:7" ht="25.5">
      <c r="A48" s="30" t="s">
        <v>1236</v>
      </c>
      <c r="B48" s="6" t="s">
        <v>28</v>
      </c>
      <c r="C48" s="6" t="s">
        <v>52</v>
      </c>
      <c r="D48" s="28" t="s">
        <v>27</v>
      </c>
      <c r="E48" s="114">
        <f>105/1000</f>
        <v>0.105</v>
      </c>
      <c r="F48" s="12"/>
      <c r="G48" s="12">
        <f t="shared" si="1"/>
        <v>0</v>
      </c>
    </row>
    <row r="49" spans="1:7" ht="25.5">
      <c r="A49" s="30" t="s">
        <v>1237</v>
      </c>
      <c r="B49" s="6" t="s">
        <v>28</v>
      </c>
      <c r="C49" s="6" t="s">
        <v>30</v>
      </c>
      <c r="D49" s="28" t="s">
        <v>27</v>
      </c>
      <c r="E49" s="114">
        <f>372/1000</f>
        <v>0.372</v>
      </c>
      <c r="F49" s="12"/>
      <c r="G49" s="12">
        <f t="shared" si="1"/>
        <v>0</v>
      </c>
    </row>
    <row r="50" spans="1:7" ht="51">
      <c r="A50" s="30" t="s">
        <v>1238</v>
      </c>
      <c r="B50" s="6" t="s">
        <v>1980</v>
      </c>
      <c r="C50" s="6" t="s">
        <v>53</v>
      </c>
      <c r="D50" s="28" t="s">
        <v>7</v>
      </c>
      <c r="E50" s="114">
        <v>2.78</v>
      </c>
      <c r="F50" s="12"/>
      <c r="G50" s="12">
        <f t="shared" si="1"/>
        <v>0</v>
      </c>
    </row>
    <row r="51" spans="1:7" ht="25.5">
      <c r="A51" s="30" t="s">
        <v>1239</v>
      </c>
      <c r="B51" s="6" t="s">
        <v>28</v>
      </c>
      <c r="C51" s="6" t="s">
        <v>52</v>
      </c>
      <c r="D51" s="28" t="s">
        <v>27</v>
      </c>
      <c r="E51" s="114">
        <f>64/1000</f>
        <v>6.4000000000000001E-2</v>
      </c>
      <c r="F51" s="12"/>
      <c r="G51" s="12">
        <f t="shared" si="1"/>
        <v>0</v>
      </c>
    </row>
    <row r="52" spans="1:7" ht="25.5">
      <c r="A52" s="30" t="s">
        <v>1240</v>
      </c>
      <c r="B52" s="6" t="s">
        <v>28</v>
      </c>
      <c r="C52" s="6" t="s">
        <v>31</v>
      </c>
      <c r="D52" s="28" t="s">
        <v>27</v>
      </c>
      <c r="E52" s="114">
        <f>389/1000</f>
        <v>0.38900000000000001</v>
      </c>
      <c r="F52" s="12"/>
      <c r="G52" s="12">
        <f t="shared" si="1"/>
        <v>0</v>
      </c>
    </row>
    <row r="53" spans="1:7" ht="51">
      <c r="A53" s="30" t="s">
        <v>1241</v>
      </c>
      <c r="B53" s="6" t="s">
        <v>1982</v>
      </c>
      <c r="C53" s="6" t="s">
        <v>54</v>
      </c>
      <c r="D53" s="28" t="s">
        <v>7</v>
      </c>
      <c r="E53" s="114">
        <v>1.38</v>
      </c>
      <c r="F53" s="12"/>
      <c r="G53" s="12">
        <f t="shared" si="1"/>
        <v>0</v>
      </c>
    </row>
    <row r="54" spans="1:7" ht="25.5">
      <c r="A54" s="30" t="s">
        <v>1242</v>
      </c>
      <c r="B54" s="6" t="s">
        <v>25</v>
      </c>
      <c r="C54" s="6" t="s">
        <v>26</v>
      </c>
      <c r="D54" s="28" t="s">
        <v>27</v>
      </c>
      <c r="E54" s="120">
        <f>2/1000</f>
        <v>2E-3</v>
      </c>
      <c r="F54" s="12"/>
      <c r="G54" s="12">
        <f t="shared" si="1"/>
        <v>0</v>
      </c>
    </row>
    <row r="55" spans="1:7" ht="25.5">
      <c r="A55" s="30" t="s">
        <v>1243</v>
      </c>
      <c r="B55" s="6" t="s">
        <v>28</v>
      </c>
      <c r="C55" s="6" t="s">
        <v>52</v>
      </c>
      <c r="D55" s="28" t="s">
        <v>27</v>
      </c>
      <c r="E55" s="114">
        <f>83/1000</f>
        <v>8.3000000000000004E-2</v>
      </c>
      <c r="F55" s="12"/>
      <c r="G55" s="12">
        <f t="shared" si="1"/>
        <v>0</v>
      </c>
    </row>
    <row r="56" spans="1:7" ht="25.5">
      <c r="A56" s="30" t="s">
        <v>1244</v>
      </c>
      <c r="B56" s="6" t="s">
        <v>28</v>
      </c>
      <c r="C56" s="6" t="s">
        <v>30</v>
      </c>
      <c r="D56" s="28" t="s">
        <v>27</v>
      </c>
      <c r="E56" s="114">
        <f>194/1000</f>
        <v>0.19400000000000001</v>
      </c>
      <c r="F56" s="12"/>
      <c r="G56" s="12">
        <f t="shared" si="1"/>
        <v>0</v>
      </c>
    </row>
    <row r="57" spans="1:7" ht="25.5">
      <c r="A57" s="30" t="s">
        <v>1245</v>
      </c>
      <c r="B57" s="6" t="s">
        <v>55</v>
      </c>
      <c r="C57" s="6" t="s">
        <v>56</v>
      </c>
      <c r="D57" s="28" t="s">
        <v>7</v>
      </c>
      <c r="E57" s="114">
        <f>3.44+2.19+0.17</f>
        <v>5.8</v>
      </c>
      <c r="F57" s="12"/>
      <c r="G57" s="12">
        <f t="shared" si="1"/>
        <v>0</v>
      </c>
    </row>
    <row r="58" spans="1:7" ht="25.5">
      <c r="A58" s="30" t="s">
        <v>1246</v>
      </c>
      <c r="B58" s="6" t="s">
        <v>57</v>
      </c>
      <c r="C58" s="6" t="s">
        <v>58</v>
      </c>
      <c r="D58" s="28" t="s">
        <v>7</v>
      </c>
      <c r="E58" s="114">
        <f>0.69+0.31</f>
        <v>1</v>
      </c>
      <c r="F58" s="12"/>
      <c r="G58" s="12">
        <f t="shared" si="1"/>
        <v>0</v>
      </c>
    </row>
    <row r="59" spans="1:7" ht="25.5">
      <c r="A59" s="30" t="s">
        <v>1247</v>
      </c>
      <c r="B59" s="6" t="s">
        <v>55</v>
      </c>
      <c r="C59" s="6" t="s">
        <v>59</v>
      </c>
      <c r="D59" s="28" t="s">
        <v>7</v>
      </c>
      <c r="E59" s="114">
        <f>1.54+0.25</f>
        <v>1.79</v>
      </c>
      <c r="F59" s="12"/>
      <c r="G59" s="12">
        <f t="shared" si="1"/>
        <v>0</v>
      </c>
    </row>
    <row r="60" spans="1:7" ht="25.5">
      <c r="A60" s="30" t="s">
        <v>1248</v>
      </c>
      <c r="B60" s="6" t="s">
        <v>60</v>
      </c>
      <c r="C60" s="6" t="s">
        <v>61</v>
      </c>
      <c r="D60" s="28" t="s">
        <v>62</v>
      </c>
      <c r="E60" s="114">
        <f>1.28+1.86</f>
        <v>3.14</v>
      </c>
      <c r="F60" s="12"/>
      <c r="G60" s="12">
        <f t="shared" si="1"/>
        <v>0</v>
      </c>
    </row>
    <row r="61" spans="1:7" ht="25.5">
      <c r="A61" s="30" t="s">
        <v>1249</v>
      </c>
      <c r="B61" s="6" t="s">
        <v>63</v>
      </c>
      <c r="C61" s="6" t="s">
        <v>64</v>
      </c>
      <c r="D61" s="28" t="s">
        <v>7</v>
      </c>
      <c r="E61" s="114">
        <f>0.49+0.38</f>
        <v>0.87</v>
      </c>
      <c r="F61" s="12"/>
      <c r="G61" s="12">
        <f t="shared" si="1"/>
        <v>0</v>
      </c>
    </row>
    <row r="62" spans="1:7" ht="25.5">
      <c r="A62" s="30" t="s">
        <v>1250</v>
      </c>
      <c r="B62" s="6" t="s">
        <v>65</v>
      </c>
      <c r="C62" s="6" t="s">
        <v>66</v>
      </c>
      <c r="D62" s="28" t="s">
        <v>62</v>
      </c>
      <c r="E62" s="119">
        <v>1.1399999999999999</v>
      </c>
      <c r="F62" s="12"/>
      <c r="G62" s="12">
        <f t="shared" si="1"/>
        <v>0</v>
      </c>
    </row>
    <row r="63" spans="1:7" ht="25.5">
      <c r="A63" s="30" t="s">
        <v>1251</v>
      </c>
      <c r="B63" s="6" t="s">
        <v>63</v>
      </c>
      <c r="C63" s="6" t="s">
        <v>64</v>
      </c>
      <c r="D63" s="28" t="s">
        <v>7</v>
      </c>
      <c r="E63" s="119">
        <v>0.51</v>
      </c>
      <c r="F63" s="12"/>
      <c r="G63" s="12">
        <f t="shared" si="1"/>
        <v>0</v>
      </c>
    </row>
    <row r="64" spans="1:7" ht="25.5">
      <c r="A64" s="30" t="s">
        <v>1252</v>
      </c>
      <c r="B64" s="6" t="s">
        <v>67</v>
      </c>
      <c r="C64" s="6" t="s">
        <v>68</v>
      </c>
      <c r="D64" s="28" t="s">
        <v>62</v>
      </c>
      <c r="E64" s="119">
        <v>0.35</v>
      </c>
      <c r="F64" s="12"/>
      <c r="G64" s="12">
        <f t="shared" si="1"/>
        <v>0</v>
      </c>
    </row>
    <row r="65" spans="1:7" ht="51">
      <c r="A65" s="30" t="s">
        <v>1253</v>
      </c>
      <c r="B65" s="111" t="s">
        <v>1985</v>
      </c>
      <c r="C65" s="6" t="s">
        <v>1987</v>
      </c>
      <c r="D65" s="28" t="s">
        <v>1984</v>
      </c>
      <c r="E65" s="114">
        <f>2.2+1.7+5*1.6+6*1.4+4*1.7+8*1.5</f>
        <v>39.099999999999994</v>
      </c>
      <c r="F65" s="12"/>
      <c r="G65" s="12">
        <f t="shared" si="1"/>
        <v>0</v>
      </c>
    </row>
    <row r="66" spans="1:7" ht="25.5">
      <c r="A66" s="77" t="s">
        <v>1989</v>
      </c>
      <c r="B66" s="111" t="s">
        <v>74</v>
      </c>
      <c r="C66" s="6" t="s">
        <v>1988</v>
      </c>
      <c r="D66" s="28" t="s">
        <v>20</v>
      </c>
      <c r="E66" s="114">
        <f>0.94*(2.2+1.7+1.6*5+1.4*6)+0.8*(1.7*4+1.5*8)</f>
        <v>34.122</v>
      </c>
      <c r="F66" s="12"/>
      <c r="G66" s="12">
        <f t="shared" si="1"/>
        <v>0</v>
      </c>
    </row>
    <row r="67" spans="1:7" ht="25.5">
      <c r="A67" s="77" t="s">
        <v>1990</v>
      </c>
      <c r="B67" s="111" t="s">
        <v>75</v>
      </c>
      <c r="C67" s="6" t="s">
        <v>76</v>
      </c>
      <c r="D67" s="28" t="s">
        <v>20</v>
      </c>
      <c r="E67" s="114">
        <f>0.94*(2.2+1.7+1.6*5+1.4*6)+0.8*(1.7*4+1.5*8)</f>
        <v>34.122</v>
      </c>
      <c r="F67" s="12"/>
      <c r="G67" s="12">
        <f t="shared" si="1"/>
        <v>0</v>
      </c>
    </row>
    <row r="68" spans="1:7" ht="38.25">
      <c r="A68" s="77" t="s">
        <v>1991</v>
      </c>
      <c r="B68" s="111" t="s">
        <v>1979</v>
      </c>
      <c r="C68" s="6" t="s">
        <v>1986</v>
      </c>
      <c r="D68" s="28" t="s">
        <v>27</v>
      </c>
      <c r="E68" s="114">
        <f>1308.26/1000</f>
        <v>1.30826</v>
      </c>
      <c r="F68" s="12"/>
      <c r="G68" s="12">
        <f t="shared" si="1"/>
        <v>0</v>
      </c>
    </row>
    <row r="69" spans="1:7" ht="25.5">
      <c r="A69" s="77" t="s">
        <v>1992</v>
      </c>
      <c r="B69" s="6" t="s">
        <v>36</v>
      </c>
      <c r="C69" s="6" t="s">
        <v>77</v>
      </c>
      <c r="D69" s="28" t="s">
        <v>20</v>
      </c>
      <c r="E69" s="119">
        <v>8.8000000000000007</v>
      </c>
      <c r="F69" s="12"/>
      <c r="G69" s="12">
        <f t="shared" si="1"/>
        <v>0</v>
      </c>
    </row>
    <row r="70" spans="1:7" ht="25.5">
      <c r="A70" s="77" t="s">
        <v>1993</v>
      </c>
      <c r="B70" s="6" t="s">
        <v>38</v>
      </c>
      <c r="C70" s="6" t="s">
        <v>78</v>
      </c>
      <c r="D70" s="28" t="s">
        <v>20</v>
      </c>
      <c r="E70" s="119">
        <v>8.8000000000000007</v>
      </c>
      <c r="F70" s="12"/>
      <c r="G70" s="12">
        <f t="shared" si="1"/>
        <v>0</v>
      </c>
    </row>
    <row r="71" spans="1:7" ht="25.5">
      <c r="A71" s="77" t="s">
        <v>1994</v>
      </c>
      <c r="B71" s="6" t="s">
        <v>28</v>
      </c>
      <c r="C71" s="6" t="s">
        <v>52</v>
      </c>
      <c r="D71" s="28" t="s">
        <v>27</v>
      </c>
      <c r="E71" s="114">
        <f>119/1000</f>
        <v>0.11899999999999999</v>
      </c>
      <c r="F71" s="12"/>
      <c r="G71" s="12">
        <f t="shared" si="1"/>
        <v>0</v>
      </c>
    </row>
    <row r="72" spans="1:7" ht="25.5">
      <c r="A72" s="77" t="s">
        <v>1995</v>
      </c>
      <c r="B72" s="6" t="s">
        <v>79</v>
      </c>
      <c r="C72" s="6" t="s">
        <v>80</v>
      </c>
      <c r="D72" s="28" t="s">
        <v>20</v>
      </c>
      <c r="E72" s="119">
        <v>163.12</v>
      </c>
      <c r="F72" s="12"/>
      <c r="G72" s="12">
        <f t="shared" si="1"/>
        <v>0</v>
      </c>
    </row>
    <row r="73" spans="1:7" ht="25.5">
      <c r="A73" s="77" t="s">
        <v>1996</v>
      </c>
      <c r="B73" s="6" t="s">
        <v>72</v>
      </c>
      <c r="C73" s="111" t="s">
        <v>2092</v>
      </c>
      <c r="D73" s="28" t="s">
        <v>20</v>
      </c>
      <c r="E73" s="119">
        <v>163.12</v>
      </c>
      <c r="F73" s="12"/>
      <c r="G73" s="12">
        <f t="shared" si="1"/>
        <v>0</v>
      </c>
    </row>
    <row r="74" spans="1:7" ht="25.5">
      <c r="A74" s="77" t="s">
        <v>1254</v>
      </c>
      <c r="B74" s="6" t="s">
        <v>28</v>
      </c>
      <c r="C74" s="6" t="s">
        <v>81</v>
      </c>
      <c r="D74" s="28" t="s">
        <v>27</v>
      </c>
      <c r="E74" s="119">
        <v>0.32200000000000001</v>
      </c>
      <c r="F74" s="12"/>
      <c r="G74" s="12">
        <f t="shared" ref="G74:G86" si="2">E74*F74</f>
        <v>0</v>
      </c>
    </row>
    <row r="75" spans="1:7">
      <c r="A75" s="77" t="s">
        <v>1255</v>
      </c>
      <c r="B75" s="6" t="s">
        <v>72</v>
      </c>
      <c r="C75" s="6" t="s">
        <v>82</v>
      </c>
      <c r="D75" s="28" t="s">
        <v>20</v>
      </c>
      <c r="E75" s="119">
        <v>231.01</v>
      </c>
      <c r="F75" s="12"/>
      <c r="G75" s="12">
        <f t="shared" si="2"/>
        <v>0</v>
      </c>
    </row>
    <row r="76" spans="1:7" ht="25.5">
      <c r="A76" s="77" t="s">
        <v>1256</v>
      </c>
      <c r="B76" s="6" t="s">
        <v>79</v>
      </c>
      <c r="C76" s="6" t="s">
        <v>83</v>
      </c>
      <c r="D76" s="28" t="s">
        <v>20</v>
      </c>
      <c r="E76" s="119">
        <v>174.18</v>
      </c>
      <c r="F76" s="12"/>
      <c r="G76" s="12">
        <f t="shared" si="2"/>
        <v>0</v>
      </c>
    </row>
    <row r="77" spans="1:7" ht="25.5">
      <c r="A77" s="77" t="s">
        <v>1997</v>
      </c>
      <c r="B77" s="6" t="s">
        <v>72</v>
      </c>
      <c r="C77" s="111" t="s">
        <v>2093</v>
      </c>
      <c r="D77" s="28" t="s">
        <v>20</v>
      </c>
      <c r="E77" s="119">
        <v>174.18</v>
      </c>
      <c r="F77" s="12"/>
      <c r="G77" s="12">
        <f t="shared" si="2"/>
        <v>0</v>
      </c>
    </row>
    <row r="78" spans="1:7" ht="25.5">
      <c r="A78" s="77" t="s">
        <v>1998</v>
      </c>
      <c r="B78" s="6" t="s">
        <v>28</v>
      </c>
      <c r="C78" s="6" t="s">
        <v>81</v>
      </c>
      <c r="D78" s="28" t="s">
        <v>27</v>
      </c>
      <c r="E78" s="119">
        <v>0.40600000000000003</v>
      </c>
      <c r="F78" s="12"/>
      <c r="G78" s="12">
        <f t="shared" si="2"/>
        <v>0</v>
      </c>
    </row>
    <row r="79" spans="1:7">
      <c r="A79" s="77" t="s">
        <v>1999</v>
      </c>
      <c r="B79" s="6" t="s">
        <v>72</v>
      </c>
      <c r="C79" s="6" t="s">
        <v>82</v>
      </c>
      <c r="D79" s="28" t="s">
        <v>20</v>
      </c>
      <c r="E79" s="119">
        <v>223.44</v>
      </c>
      <c r="F79" s="12"/>
      <c r="G79" s="12">
        <f t="shared" si="2"/>
        <v>0</v>
      </c>
    </row>
    <row r="80" spans="1:7">
      <c r="A80" s="77" t="s">
        <v>2000</v>
      </c>
      <c r="B80" s="6" t="s">
        <v>84</v>
      </c>
      <c r="C80" s="6" t="s">
        <v>85</v>
      </c>
      <c r="D80" s="28" t="s">
        <v>20</v>
      </c>
      <c r="E80" s="114">
        <f>7.2*9.19</f>
        <v>66.167999999999992</v>
      </c>
      <c r="F80" s="12"/>
      <c r="G80" s="12">
        <f t="shared" si="2"/>
        <v>0</v>
      </c>
    </row>
    <row r="81" spans="1:7" ht="25.5">
      <c r="A81" s="77" t="s">
        <v>2001</v>
      </c>
      <c r="B81" s="6" t="s">
        <v>86</v>
      </c>
      <c r="C81" s="6" t="s">
        <v>87</v>
      </c>
      <c r="D81" s="28" t="s">
        <v>20</v>
      </c>
      <c r="E81" s="114">
        <f>66.186*0.2</f>
        <v>13.237200000000001</v>
      </c>
      <c r="F81" s="12"/>
      <c r="G81" s="12">
        <f t="shared" si="2"/>
        <v>0</v>
      </c>
    </row>
    <row r="82" spans="1:7" ht="25.5">
      <c r="A82" s="77" t="s">
        <v>1257</v>
      </c>
      <c r="B82" s="6" t="s">
        <v>88</v>
      </c>
      <c r="C82" s="6" t="s">
        <v>89</v>
      </c>
      <c r="D82" s="28" t="s">
        <v>20</v>
      </c>
      <c r="E82" s="114">
        <f>66.186*0.2</f>
        <v>13.237200000000001</v>
      </c>
      <c r="F82" s="12"/>
      <c r="G82" s="12">
        <f t="shared" si="2"/>
        <v>0</v>
      </c>
    </row>
    <row r="83" spans="1:7" ht="25.5">
      <c r="A83" s="77" t="s">
        <v>1258</v>
      </c>
      <c r="B83" s="6" t="s">
        <v>90</v>
      </c>
      <c r="C83" s="6" t="s">
        <v>91</v>
      </c>
      <c r="D83" s="28" t="s">
        <v>20</v>
      </c>
      <c r="E83" s="114">
        <f>7.2*9.19</f>
        <v>66.167999999999992</v>
      </c>
      <c r="F83" s="12"/>
      <c r="G83" s="12">
        <f t="shared" si="2"/>
        <v>0</v>
      </c>
    </row>
    <row r="84" spans="1:7">
      <c r="A84" s="77" t="s">
        <v>1259</v>
      </c>
      <c r="B84" s="6" t="s">
        <v>72</v>
      </c>
      <c r="C84" s="6" t="s">
        <v>92</v>
      </c>
      <c r="D84" s="28" t="s">
        <v>20</v>
      </c>
      <c r="E84" s="114">
        <f>7.2*9.19</f>
        <v>66.167999999999992</v>
      </c>
      <c r="F84" s="12"/>
      <c r="G84" s="12">
        <f t="shared" si="2"/>
        <v>0</v>
      </c>
    </row>
    <row r="85" spans="1:7">
      <c r="A85" s="77" t="s">
        <v>1260</v>
      </c>
      <c r="B85" s="6" t="s">
        <v>72</v>
      </c>
      <c r="C85" s="6" t="s">
        <v>2156</v>
      </c>
      <c r="D85" s="28" t="s">
        <v>93</v>
      </c>
      <c r="E85" s="114">
        <f>(11.4*2+19.04*2)*3*6*1.1/2</f>
        <v>602.71199999999999</v>
      </c>
      <c r="F85" s="12"/>
      <c r="G85" s="12">
        <f t="shared" si="2"/>
        <v>0</v>
      </c>
    </row>
    <row r="86" spans="1:7" ht="25.5">
      <c r="A86" s="77" t="s">
        <v>1261</v>
      </c>
      <c r="B86" s="6" t="s">
        <v>72</v>
      </c>
      <c r="C86" s="6" t="s">
        <v>1638</v>
      </c>
      <c r="D86" s="28" t="s">
        <v>93</v>
      </c>
      <c r="E86" s="114">
        <v>180</v>
      </c>
      <c r="F86" s="12"/>
      <c r="G86" s="12">
        <f t="shared" si="2"/>
        <v>0</v>
      </c>
    </row>
    <row r="87" spans="1:7" ht="24" customHeight="1">
      <c r="A87" s="41">
        <v>2</v>
      </c>
      <c r="B87" s="148" t="s">
        <v>94</v>
      </c>
      <c r="C87" s="149"/>
      <c r="D87" s="41"/>
      <c r="E87" s="118"/>
      <c r="F87" s="42"/>
      <c r="G87" s="39">
        <f>SUM(G88,G101,G105,G112)</f>
        <v>0</v>
      </c>
    </row>
    <row r="88" spans="1:7" ht="13.5" customHeight="1">
      <c r="A88" s="61" t="s">
        <v>95</v>
      </c>
      <c r="B88" s="138" t="s">
        <v>1878</v>
      </c>
      <c r="C88" s="139"/>
      <c r="D88" s="61"/>
      <c r="E88" s="121"/>
      <c r="F88" s="65"/>
      <c r="G88" s="65">
        <f>SUM(G89:G100)</f>
        <v>0</v>
      </c>
    </row>
    <row r="89" spans="1:7">
      <c r="A89" s="30" t="s">
        <v>1262</v>
      </c>
      <c r="B89" s="6" t="s">
        <v>69</v>
      </c>
      <c r="C89" s="6" t="s">
        <v>97</v>
      </c>
      <c r="D89" s="28" t="s">
        <v>7</v>
      </c>
      <c r="E89" s="114">
        <f>(2.75+3.7)*0.6</f>
        <v>3.87</v>
      </c>
      <c r="F89" s="12"/>
      <c r="G89" s="12">
        <f>E89*F89</f>
        <v>0</v>
      </c>
    </row>
    <row r="90" spans="1:7">
      <c r="A90" s="30" t="s">
        <v>1263</v>
      </c>
      <c r="B90" s="6" t="s">
        <v>98</v>
      </c>
      <c r="C90" s="6" t="s">
        <v>99</v>
      </c>
      <c r="D90" s="28" t="s">
        <v>7</v>
      </c>
      <c r="E90" s="114">
        <f>1.7*6.5*0.35+15.15*6.5*0.35</f>
        <v>38.333750000000002</v>
      </c>
      <c r="F90" s="12"/>
      <c r="G90" s="12">
        <f t="shared" ref="G90:G96" si="3">E90*F90</f>
        <v>0</v>
      </c>
    </row>
    <row r="91" spans="1:7" ht="25.5">
      <c r="A91" s="76" t="s">
        <v>1264</v>
      </c>
      <c r="B91" s="6" t="s">
        <v>100</v>
      </c>
      <c r="C91" s="6" t="s">
        <v>101</v>
      </c>
      <c r="D91" s="28" t="s">
        <v>102</v>
      </c>
      <c r="E91" s="114">
        <v>16</v>
      </c>
      <c r="F91" s="12"/>
      <c r="G91" s="12">
        <f t="shared" si="3"/>
        <v>0</v>
      </c>
    </row>
    <row r="92" spans="1:7" ht="18" customHeight="1">
      <c r="A92" s="76" t="s">
        <v>1265</v>
      </c>
      <c r="B92" s="6" t="s">
        <v>2148</v>
      </c>
      <c r="C92" s="6" t="s">
        <v>2149</v>
      </c>
      <c r="D92" s="45" t="s">
        <v>7</v>
      </c>
      <c r="E92" s="114">
        <v>70.13</v>
      </c>
      <c r="F92" s="12"/>
      <c r="G92" s="12">
        <f>E92*F92</f>
        <v>0</v>
      </c>
    </row>
    <row r="93" spans="1:7" ht="27" customHeight="1">
      <c r="A93" s="76" t="s">
        <v>1266</v>
      </c>
      <c r="B93" s="6" t="s">
        <v>284</v>
      </c>
      <c r="C93" s="6" t="s">
        <v>285</v>
      </c>
      <c r="D93" s="45" t="s">
        <v>7</v>
      </c>
      <c r="E93" s="114">
        <f>E92-10.06</f>
        <v>60.069999999999993</v>
      </c>
      <c r="F93" s="12"/>
      <c r="G93" s="12">
        <f>E93*F93</f>
        <v>0</v>
      </c>
    </row>
    <row r="94" spans="1:7">
      <c r="A94" s="76" t="s">
        <v>1267</v>
      </c>
      <c r="B94" s="33" t="s">
        <v>1879</v>
      </c>
      <c r="C94" s="33" t="s">
        <v>1880</v>
      </c>
      <c r="D94" s="34" t="s">
        <v>7</v>
      </c>
      <c r="E94" s="122">
        <f>(2.15*2.42+0.3*0.3*8+0.56*0.95+0.35*0.81+0.45*0.45+0.58*1.2)*2.3</f>
        <v>17.565099999999994</v>
      </c>
      <c r="F94" s="12"/>
      <c r="G94" s="12">
        <f t="shared" si="3"/>
        <v>0</v>
      </c>
    </row>
    <row r="95" spans="1:7">
      <c r="A95" s="76" t="s">
        <v>1268</v>
      </c>
      <c r="B95" s="111" t="s">
        <v>1009</v>
      </c>
      <c r="C95" s="6" t="s">
        <v>2150</v>
      </c>
      <c r="D95" s="28" t="s">
        <v>7</v>
      </c>
      <c r="E95" s="114">
        <f>E90+E89+E91*0.2+70.13</f>
        <v>115.53375</v>
      </c>
      <c r="F95" s="12"/>
      <c r="G95" s="12">
        <f t="shared" si="3"/>
        <v>0</v>
      </c>
    </row>
    <row r="96" spans="1:7">
      <c r="A96" s="76" t="s">
        <v>1269</v>
      </c>
      <c r="B96" s="111" t="s">
        <v>72</v>
      </c>
      <c r="C96" s="6" t="s">
        <v>73</v>
      </c>
      <c r="D96" s="28" t="s">
        <v>7</v>
      </c>
      <c r="E96" s="114">
        <f>E95-E93</f>
        <v>55.463750000000005</v>
      </c>
      <c r="F96" s="12"/>
      <c r="G96" s="12">
        <f t="shared" si="3"/>
        <v>0</v>
      </c>
    </row>
    <row r="97" spans="1:9" ht="25.5">
      <c r="A97" s="76" t="s">
        <v>1270</v>
      </c>
      <c r="B97" s="111" t="s">
        <v>130</v>
      </c>
      <c r="C97" s="6" t="s">
        <v>131</v>
      </c>
      <c r="D97" s="28" t="s">
        <v>20</v>
      </c>
      <c r="E97" s="114">
        <f>E103</f>
        <v>74.159263999999993</v>
      </c>
      <c r="F97" s="12"/>
      <c r="G97" s="12">
        <f>E97*F97</f>
        <v>0</v>
      </c>
    </row>
    <row r="98" spans="1:9">
      <c r="A98" s="77" t="s">
        <v>2003</v>
      </c>
      <c r="B98" s="111" t="s">
        <v>1009</v>
      </c>
      <c r="C98" s="6" t="s">
        <v>132</v>
      </c>
      <c r="D98" s="28" t="s">
        <v>7</v>
      </c>
      <c r="E98" s="114">
        <f>E97*0.02</f>
        <v>1.4831852799999998</v>
      </c>
      <c r="F98" s="12"/>
      <c r="G98" s="12">
        <f>E98*F98</f>
        <v>0</v>
      </c>
    </row>
    <row r="99" spans="1:9" ht="25.5">
      <c r="A99" s="77" t="s">
        <v>1876</v>
      </c>
      <c r="B99" s="6" t="s">
        <v>70</v>
      </c>
      <c r="C99" s="6" t="s">
        <v>71</v>
      </c>
      <c r="D99" s="28" t="s">
        <v>7</v>
      </c>
      <c r="E99" s="114">
        <f>E98</f>
        <v>1.4831852799999998</v>
      </c>
      <c r="F99" s="12"/>
      <c r="G99" s="12">
        <f>E99*F99</f>
        <v>0</v>
      </c>
    </row>
    <row r="100" spans="1:9">
      <c r="A100" s="77" t="s">
        <v>1877</v>
      </c>
      <c r="B100" s="6" t="s">
        <v>72</v>
      </c>
      <c r="C100" s="6" t="s">
        <v>73</v>
      </c>
      <c r="D100" s="28" t="s">
        <v>7</v>
      </c>
      <c r="E100" s="114">
        <f>E98</f>
        <v>1.4831852799999998</v>
      </c>
      <c r="F100" s="12"/>
      <c r="G100" s="12">
        <f>E100*F100</f>
        <v>0</v>
      </c>
    </row>
    <row r="101" spans="1:9" ht="19.5" customHeight="1">
      <c r="A101" s="61" t="s">
        <v>108</v>
      </c>
      <c r="B101" s="138" t="s">
        <v>1875</v>
      </c>
      <c r="C101" s="139"/>
      <c r="D101" s="61"/>
      <c r="E101" s="121"/>
      <c r="F101" s="65"/>
      <c r="G101" s="65">
        <f>SUM(G102:G104)</f>
        <v>0</v>
      </c>
    </row>
    <row r="102" spans="1:9" ht="38.25">
      <c r="A102" s="30" t="s">
        <v>1271</v>
      </c>
      <c r="B102" s="6" t="s">
        <v>109</v>
      </c>
      <c r="C102" s="6" t="s">
        <v>110</v>
      </c>
      <c r="D102" s="28" t="s">
        <v>93</v>
      </c>
      <c r="E102" s="114">
        <f>(3.39+0.16+5.78+4.02)*2</f>
        <v>26.7</v>
      </c>
      <c r="F102" s="12"/>
      <c r="G102" s="12">
        <f>E102*F102</f>
        <v>0</v>
      </c>
    </row>
    <row r="103" spans="1:9" ht="38.25">
      <c r="A103" s="77" t="s">
        <v>1272</v>
      </c>
      <c r="B103" s="6" t="s">
        <v>1643</v>
      </c>
      <c r="C103" s="6" t="s">
        <v>2062</v>
      </c>
      <c r="D103" s="47" t="s">
        <v>20</v>
      </c>
      <c r="E103" s="114">
        <f>3.14*2.32*10.18</f>
        <v>74.159263999999993</v>
      </c>
      <c r="F103" s="12"/>
      <c r="G103" s="12">
        <f t="shared" ref="G103:G104" si="4">E103*F103</f>
        <v>0</v>
      </c>
    </row>
    <row r="104" spans="1:9" ht="33.75" customHeight="1">
      <c r="A104" s="77" t="s">
        <v>1543</v>
      </c>
      <c r="B104" s="6" t="s">
        <v>1009</v>
      </c>
      <c r="C104" s="6" t="s">
        <v>2085</v>
      </c>
      <c r="D104" s="47" t="s">
        <v>20</v>
      </c>
      <c r="E104" s="114">
        <f>E103</f>
        <v>74.159263999999993</v>
      </c>
      <c r="F104" s="12"/>
      <c r="G104" s="12">
        <f t="shared" si="4"/>
        <v>0</v>
      </c>
    </row>
    <row r="105" spans="1:9" ht="21.75" customHeight="1">
      <c r="A105" s="61" t="s">
        <v>111</v>
      </c>
      <c r="B105" s="138" t="s">
        <v>1874</v>
      </c>
      <c r="C105" s="139"/>
      <c r="D105" s="61"/>
      <c r="E105" s="121"/>
      <c r="F105" s="65"/>
      <c r="G105" s="65">
        <f>SUM(G106:G111)</f>
        <v>0</v>
      </c>
    </row>
    <row r="106" spans="1:9" ht="32.25" customHeight="1">
      <c r="A106" s="47" t="s">
        <v>1273</v>
      </c>
      <c r="B106" s="50" t="s">
        <v>1643</v>
      </c>
      <c r="C106" s="49" t="s">
        <v>2060</v>
      </c>
      <c r="D106" s="47" t="s">
        <v>7</v>
      </c>
      <c r="E106" s="114">
        <f>37.5*0.2</f>
        <v>7.5</v>
      </c>
      <c r="F106" s="12"/>
      <c r="G106" s="12">
        <f>E106*F106</f>
        <v>0</v>
      </c>
    </row>
    <row r="107" spans="1:9" ht="24.75" customHeight="1">
      <c r="A107" s="77" t="s">
        <v>1274</v>
      </c>
      <c r="B107" s="50" t="s">
        <v>5</v>
      </c>
      <c r="C107" s="49" t="s">
        <v>2059</v>
      </c>
      <c r="D107" s="77" t="s">
        <v>20</v>
      </c>
      <c r="E107" s="114">
        <v>37.5</v>
      </c>
      <c r="F107" s="12"/>
      <c r="G107" s="12"/>
    </row>
    <row r="108" spans="1:9" ht="49.5" customHeight="1">
      <c r="A108" s="77" t="s">
        <v>1275</v>
      </c>
      <c r="B108" s="6" t="s">
        <v>1009</v>
      </c>
      <c r="C108" s="6" t="s">
        <v>2061</v>
      </c>
      <c r="D108" s="47" t="s">
        <v>20</v>
      </c>
      <c r="E108" s="114">
        <f>E107</f>
        <v>37.5</v>
      </c>
      <c r="F108" s="12"/>
      <c r="G108" s="12">
        <f>E108*F108</f>
        <v>0</v>
      </c>
      <c r="I108" s="109"/>
    </row>
    <row r="109" spans="1:9" ht="25.5">
      <c r="A109" s="77" t="s">
        <v>1276</v>
      </c>
      <c r="B109" s="6" t="s">
        <v>122</v>
      </c>
      <c r="C109" s="6" t="s">
        <v>123</v>
      </c>
      <c r="D109" s="28" t="s">
        <v>20</v>
      </c>
      <c r="E109" s="119">
        <f>E107-0.86-0.74</f>
        <v>35.9</v>
      </c>
      <c r="F109" s="12"/>
      <c r="G109" s="12">
        <f t="shared" ref="G109:G111" si="5">E109*F109</f>
        <v>0</v>
      </c>
      <c r="I109" s="109"/>
    </row>
    <row r="110" spans="1:9" ht="51">
      <c r="A110" s="77" t="s">
        <v>1277</v>
      </c>
      <c r="B110" s="6" t="s">
        <v>1009</v>
      </c>
      <c r="C110" s="6" t="s">
        <v>2063</v>
      </c>
      <c r="D110" s="28" t="s">
        <v>20</v>
      </c>
      <c r="E110" s="119">
        <f>E109</f>
        <v>35.9</v>
      </c>
      <c r="F110" s="12"/>
      <c r="G110" s="12">
        <f t="shared" si="5"/>
        <v>0</v>
      </c>
    </row>
    <row r="111" spans="1:9" ht="38.25">
      <c r="A111" s="77" t="s">
        <v>1893</v>
      </c>
      <c r="B111" s="6" t="s">
        <v>1009</v>
      </c>
      <c r="C111" s="6" t="s">
        <v>2064</v>
      </c>
      <c r="D111" s="28" t="s">
        <v>93</v>
      </c>
      <c r="E111" s="114">
        <f>19+15+14.7</f>
        <v>48.7</v>
      </c>
      <c r="F111" s="12"/>
      <c r="G111" s="12">
        <f t="shared" si="5"/>
        <v>0</v>
      </c>
    </row>
    <row r="112" spans="1:9" ht="25.5" customHeight="1">
      <c r="A112" s="61" t="s">
        <v>124</v>
      </c>
      <c r="B112" s="138" t="s">
        <v>125</v>
      </c>
      <c r="C112" s="139"/>
      <c r="D112" s="61"/>
      <c r="E112" s="121"/>
      <c r="F112" s="65"/>
      <c r="G112" s="65">
        <f>SUM(G113:G120)</f>
        <v>0</v>
      </c>
    </row>
    <row r="113" spans="1:7" ht="25.5">
      <c r="A113" s="30" t="s">
        <v>1278</v>
      </c>
      <c r="B113" s="33" t="s">
        <v>1588</v>
      </c>
      <c r="C113" s="6" t="s">
        <v>1644</v>
      </c>
      <c r="D113" s="28" t="s">
        <v>20</v>
      </c>
      <c r="E113" s="114">
        <f>(2.74+4.02)*2.2</f>
        <v>14.872</v>
      </c>
      <c r="F113" s="12"/>
      <c r="G113" s="12">
        <f>E113*F113</f>
        <v>0</v>
      </c>
    </row>
    <row r="114" spans="1:7" ht="25.5">
      <c r="A114" s="30" t="s">
        <v>1279</v>
      </c>
      <c r="B114" s="6" t="s">
        <v>175</v>
      </c>
      <c r="C114" s="6" t="s">
        <v>1586</v>
      </c>
      <c r="D114" s="28" t="s">
        <v>20</v>
      </c>
      <c r="E114" s="114">
        <f>E115</f>
        <v>29.744</v>
      </c>
      <c r="F114" s="12"/>
      <c r="G114" s="12">
        <f>E114*F114</f>
        <v>0</v>
      </c>
    </row>
    <row r="115" spans="1:7" ht="25.5">
      <c r="A115" s="47" t="s">
        <v>1280</v>
      </c>
      <c r="B115" s="33" t="s">
        <v>1589</v>
      </c>
      <c r="C115" s="6" t="s">
        <v>1587</v>
      </c>
      <c r="D115" s="28" t="s">
        <v>20</v>
      </c>
      <c r="E115" s="114">
        <f>14.872*2</f>
        <v>29.744</v>
      </c>
      <c r="F115" s="12"/>
      <c r="G115" s="12">
        <f t="shared" ref="G115" si="6">E115*F115</f>
        <v>0</v>
      </c>
    </row>
    <row r="116" spans="1:7" ht="25.5">
      <c r="A116" s="47" t="s">
        <v>1281</v>
      </c>
      <c r="B116" s="6" t="s">
        <v>135</v>
      </c>
      <c r="C116" s="6" t="s">
        <v>136</v>
      </c>
      <c r="D116" s="28" t="s">
        <v>20</v>
      </c>
      <c r="E116" s="114">
        <f>E103</f>
        <v>74.159263999999993</v>
      </c>
      <c r="F116" s="12"/>
      <c r="G116" s="12">
        <f t="shared" ref="G116:G120" si="7">E116*F116</f>
        <v>0</v>
      </c>
    </row>
    <row r="117" spans="1:7" ht="25.5">
      <c r="A117" s="47" t="s">
        <v>1282</v>
      </c>
      <c r="B117" s="6" t="s">
        <v>137</v>
      </c>
      <c r="C117" s="6" t="s">
        <v>138</v>
      </c>
      <c r="D117" s="28" t="s">
        <v>20</v>
      </c>
      <c r="E117" s="114">
        <f>E116</f>
        <v>74.159263999999993</v>
      </c>
      <c r="F117" s="12"/>
      <c r="G117" s="12">
        <f t="shared" si="7"/>
        <v>0</v>
      </c>
    </row>
    <row r="118" spans="1:7" ht="25.5">
      <c r="A118" s="47" t="s">
        <v>1283</v>
      </c>
      <c r="B118" s="6" t="s">
        <v>139</v>
      </c>
      <c r="C118" s="6" t="s">
        <v>140</v>
      </c>
      <c r="D118" s="28" t="s">
        <v>20</v>
      </c>
      <c r="E118" s="114">
        <f>E117</f>
        <v>74.159263999999993</v>
      </c>
      <c r="F118" s="12"/>
      <c r="G118" s="12">
        <f t="shared" si="7"/>
        <v>0</v>
      </c>
    </row>
    <row r="119" spans="1:7">
      <c r="A119" s="47" t="s">
        <v>1284</v>
      </c>
      <c r="B119" s="6" t="s">
        <v>141</v>
      </c>
      <c r="C119" s="6" t="s">
        <v>142</v>
      </c>
      <c r="D119" s="28" t="s">
        <v>20</v>
      </c>
      <c r="E119" s="114">
        <f>E118</f>
        <v>74.159263999999993</v>
      </c>
      <c r="F119" s="12"/>
      <c r="G119" s="12">
        <f t="shared" si="7"/>
        <v>0</v>
      </c>
    </row>
    <row r="120" spans="1:7" ht="25.5">
      <c r="A120" s="47" t="s">
        <v>1285</v>
      </c>
      <c r="B120" s="6" t="s">
        <v>143</v>
      </c>
      <c r="C120" s="6" t="s">
        <v>144</v>
      </c>
      <c r="D120" s="28" t="s">
        <v>20</v>
      </c>
      <c r="E120" s="114">
        <f>E119</f>
        <v>74.159263999999993</v>
      </c>
      <c r="F120" s="12"/>
      <c r="G120" s="12">
        <f t="shared" si="7"/>
        <v>0</v>
      </c>
    </row>
    <row r="121" spans="1:7" ht="21" customHeight="1">
      <c r="A121" s="37">
        <v>3</v>
      </c>
      <c r="B121" s="38" t="s">
        <v>147</v>
      </c>
      <c r="C121" s="73"/>
      <c r="D121" s="41"/>
      <c r="E121" s="118"/>
      <c r="F121" s="42"/>
      <c r="G121" s="39">
        <f>SUM(G122,G129,G145,G162)</f>
        <v>0</v>
      </c>
    </row>
    <row r="122" spans="1:7" ht="19.5" customHeight="1">
      <c r="A122" s="61" t="s">
        <v>148</v>
      </c>
      <c r="B122" s="138" t="s">
        <v>96</v>
      </c>
      <c r="C122" s="139"/>
      <c r="D122" s="61"/>
      <c r="E122" s="121"/>
      <c r="F122" s="65"/>
      <c r="G122" s="65">
        <f>SUM(G123:G128)</f>
        <v>0</v>
      </c>
    </row>
    <row r="123" spans="1:7" ht="25.5">
      <c r="A123" s="30" t="s">
        <v>1286</v>
      </c>
      <c r="B123" s="6" t="s">
        <v>100</v>
      </c>
      <c r="C123" s="6" t="s">
        <v>101</v>
      </c>
      <c r="D123" s="28" t="s">
        <v>102</v>
      </c>
      <c r="E123" s="114">
        <v>9</v>
      </c>
      <c r="F123" s="12"/>
      <c r="G123" s="12">
        <f>E123*F123</f>
        <v>0</v>
      </c>
    </row>
    <row r="124" spans="1:7">
      <c r="A124" s="30" t="s">
        <v>1287</v>
      </c>
      <c r="B124" s="6" t="s">
        <v>151</v>
      </c>
      <c r="C124" s="6" t="s">
        <v>152</v>
      </c>
      <c r="D124" s="28" t="s">
        <v>93</v>
      </c>
      <c r="E124" s="114">
        <f>1.31*12</f>
        <v>15.72</v>
      </c>
      <c r="F124" s="12"/>
      <c r="G124" s="12">
        <f t="shared" ref="G124:G128" si="8">E124*F124</f>
        <v>0</v>
      </c>
    </row>
    <row r="125" spans="1:7">
      <c r="A125" s="76" t="s">
        <v>1288</v>
      </c>
      <c r="B125" s="6" t="s">
        <v>98</v>
      </c>
      <c r="C125" s="6" t="s">
        <v>99</v>
      </c>
      <c r="D125" s="28" t="s">
        <v>7</v>
      </c>
      <c r="E125" s="114">
        <f>17.5+27.8+16.1</f>
        <v>61.4</v>
      </c>
      <c r="F125" s="12"/>
      <c r="G125" s="12">
        <f t="shared" si="8"/>
        <v>0</v>
      </c>
    </row>
    <row r="126" spans="1:7">
      <c r="A126" s="77" t="s">
        <v>1289</v>
      </c>
      <c r="B126" s="6" t="s">
        <v>1643</v>
      </c>
      <c r="C126" s="6" t="s">
        <v>2151</v>
      </c>
      <c r="D126" s="77" t="s">
        <v>20</v>
      </c>
      <c r="E126" s="114">
        <v>167.4</v>
      </c>
      <c r="F126" s="12"/>
      <c r="G126" s="12"/>
    </row>
    <row r="127" spans="1:7" ht="25.5">
      <c r="A127" s="77" t="s">
        <v>1290</v>
      </c>
      <c r="B127" s="6" t="s">
        <v>70</v>
      </c>
      <c r="C127" s="6" t="s">
        <v>71</v>
      </c>
      <c r="D127" s="28" t="s">
        <v>7</v>
      </c>
      <c r="E127" s="114">
        <f>9*2.1*0.08+15.72*0.5*0.04+61.4+167.4*0.25</f>
        <v>105.07640000000001</v>
      </c>
      <c r="F127" s="12"/>
      <c r="G127" s="12">
        <f t="shared" si="8"/>
        <v>0</v>
      </c>
    </row>
    <row r="128" spans="1:7">
      <c r="A128" s="77" t="s">
        <v>1291</v>
      </c>
      <c r="B128" s="6" t="s">
        <v>72</v>
      </c>
      <c r="C128" s="6" t="s">
        <v>73</v>
      </c>
      <c r="D128" s="28" t="s">
        <v>7</v>
      </c>
      <c r="E128" s="114">
        <f>E127</f>
        <v>105.07640000000001</v>
      </c>
      <c r="F128" s="12"/>
      <c r="G128" s="12">
        <f t="shared" si="8"/>
        <v>0</v>
      </c>
    </row>
    <row r="129" spans="1:7" ht="24.75" customHeight="1">
      <c r="A129" s="61" t="s">
        <v>153</v>
      </c>
      <c r="B129" s="138" t="s">
        <v>1646</v>
      </c>
      <c r="C129" s="139"/>
      <c r="D129" s="61"/>
      <c r="E129" s="121"/>
      <c r="F129" s="65"/>
      <c r="G129" s="65">
        <f>SUM(G130:G144)</f>
        <v>0</v>
      </c>
    </row>
    <row r="130" spans="1:7">
      <c r="A130" s="131" t="s">
        <v>1293</v>
      </c>
      <c r="B130" s="6" t="s">
        <v>1009</v>
      </c>
      <c r="C130" s="6" t="s">
        <v>2152</v>
      </c>
      <c r="D130" s="77" t="s">
        <v>7</v>
      </c>
      <c r="E130" s="119">
        <v>3</v>
      </c>
      <c r="F130" s="12"/>
      <c r="G130" s="12"/>
    </row>
    <row r="131" spans="1:7" ht="38.25">
      <c r="A131" s="131" t="s">
        <v>1294</v>
      </c>
      <c r="B131" s="6" t="s">
        <v>118</v>
      </c>
      <c r="C131" s="6" t="s">
        <v>119</v>
      </c>
      <c r="D131" s="28" t="s">
        <v>20</v>
      </c>
      <c r="E131" s="119">
        <f>167.1</f>
        <v>167.1</v>
      </c>
      <c r="F131" s="12"/>
      <c r="G131" s="12">
        <f t="shared" ref="G131:G144" si="9">E131*F131</f>
        <v>0</v>
      </c>
    </row>
    <row r="132" spans="1:7" ht="38.25">
      <c r="A132" s="131" t="s">
        <v>1295</v>
      </c>
      <c r="B132" s="6" t="s">
        <v>120</v>
      </c>
      <c r="C132" s="6" t="s">
        <v>121</v>
      </c>
      <c r="D132" s="28" t="s">
        <v>20</v>
      </c>
      <c r="E132" s="119">
        <f>E131</f>
        <v>167.1</v>
      </c>
      <c r="F132" s="12"/>
      <c r="G132" s="12">
        <f t="shared" si="9"/>
        <v>0</v>
      </c>
    </row>
    <row r="133" spans="1:7" ht="51">
      <c r="A133" s="131" t="s">
        <v>1296</v>
      </c>
      <c r="B133" s="6" t="s">
        <v>1009</v>
      </c>
      <c r="C133" s="6" t="s">
        <v>2065</v>
      </c>
      <c r="D133" s="28" t="s">
        <v>20</v>
      </c>
      <c r="E133" s="114">
        <v>61.1</v>
      </c>
      <c r="F133" s="12"/>
      <c r="G133" s="12">
        <f t="shared" si="9"/>
        <v>0</v>
      </c>
    </row>
    <row r="134" spans="1:7" ht="38.25">
      <c r="A134" s="131" t="s">
        <v>1297</v>
      </c>
      <c r="B134" s="6" t="s">
        <v>1009</v>
      </c>
      <c r="C134" s="6" t="s">
        <v>2066</v>
      </c>
      <c r="D134" s="28" t="s">
        <v>93</v>
      </c>
      <c r="E134" s="114">
        <f>27.8+5.8+7.4+9.3+11.5+10.4+9+5.1+6</f>
        <v>92.3</v>
      </c>
      <c r="F134" s="12"/>
      <c r="G134" s="12">
        <f t="shared" si="9"/>
        <v>0</v>
      </c>
    </row>
    <row r="135" spans="1:7" ht="38.25">
      <c r="A135" s="131" t="s">
        <v>1298</v>
      </c>
      <c r="B135" s="6" t="s">
        <v>154</v>
      </c>
      <c r="C135" s="6" t="s">
        <v>155</v>
      </c>
      <c r="D135" s="28" t="s">
        <v>20</v>
      </c>
      <c r="E135" s="119">
        <v>56.1</v>
      </c>
      <c r="F135" s="12"/>
      <c r="G135" s="12">
        <f t="shared" si="9"/>
        <v>0</v>
      </c>
    </row>
    <row r="136" spans="1:7" ht="51">
      <c r="A136" s="131" t="s">
        <v>2153</v>
      </c>
      <c r="B136" s="6" t="s">
        <v>1009</v>
      </c>
      <c r="C136" s="6" t="s">
        <v>2067</v>
      </c>
      <c r="D136" s="28" t="s">
        <v>20</v>
      </c>
      <c r="E136" s="119">
        <v>56.1</v>
      </c>
      <c r="F136" s="12"/>
      <c r="G136" s="12">
        <f t="shared" si="9"/>
        <v>0</v>
      </c>
    </row>
    <row r="137" spans="1:7">
      <c r="A137" s="131" t="s">
        <v>1299</v>
      </c>
      <c r="B137" s="6" t="s">
        <v>158</v>
      </c>
      <c r="C137" s="6" t="s">
        <v>159</v>
      </c>
      <c r="D137" s="28" t="s">
        <v>93</v>
      </c>
      <c r="E137" s="114">
        <f>26.5+14.7+14.5+7.3</f>
        <v>63</v>
      </c>
      <c r="F137" s="12"/>
      <c r="G137" s="12">
        <f t="shared" si="9"/>
        <v>0</v>
      </c>
    </row>
    <row r="138" spans="1:7" ht="38.25">
      <c r="A138" s="131" t="s">
        <v>2154</v>
      </c>
      <c r="B138" s="6" t="s">
        <v>154</v>
      </c>
      <c r="C138" s="6" t="s">
        <v>155</v>
      </c>
      <c r="D138" s="28" t="s">
        <v>20</v>
      </c>
      <c r="E138" s="114">
        <f>26.6+23.3</f>
        <v>49.900000000000006</v>
      </c>
      <c r="F138" s="12"/>
      <c r="G138" s="12">
        <f t="shared" si="9"/>
        <v>0</v>
      </c>
    </row>
    <row r="139" spans="1:7">
      <c r="A139" s="131" t="s">
        <v>1300</v>
      </c>
      <c r="B139" s="6" t="s">
        <v>1009</v>
      </c>
      <c r="C139" s="6" t="s">
        <v>2068</v>
      </c>
      <c r="D139" s="28" t="s">
        <v>20</v>
      </c>
      <c r="E139" s="114">
        <f>26.6+23.3</f>
        <v>49.900000000000006</v>
      </c>
      <c r="F139" s="12"/>
      <c r="G139" s="12">
        <f t="shared" si="9"/>
        <v>0</v>
      </c>
    </row>
    <row r="140" spans="1:7">
      <c r="A140" s="131" t="s">
        <v>1301</v>
      </c>
      <c r="B140" s="6" t="s">
        <v>2073</v>
      </c>
      <c r="C140" s="6" t="s">
        <v>2076</v>
      </c>
      <c r="D140" s="28" t="s">
        <v>93</v>
      </c>
      <c r="E140" s="114">
        <f>24.6+16.9</f>
        <v>41.5</v>
      </c>
      <c r="F140" s="12"/>
      <c r="G140" s="12">
        <f t="shared" si="9"/>
        <v>0</v>
      </c>
    </row>
    <row r="141" spans="1:7" ht="25.5">
      <c r="A141" s="131" t="s">
        <v>2155</v>
      </c>
      <c r="B141" s="6" t="s">
        <v>72</v>
      </c>
      <c r="C141" s="6" t="s">
        <v>1974</v>
      </c>
      <c r="D141" s="28" t="s">
        <v>161</v>
      </c>
      <c r="E141" s="114">
        <v>2</v>
      </c>
      <c r="F141" s="12"/>
      <c r="G141" s="12">
        <f t="shared" si="9"/>
        <v>0</v>
      </c>
    </row>
    <row r="142" spans="1:7" ht="25.5">
      <c r="A142" s="131" t="s">
        <v>1302</v>
      </c>
      <c r="B142" s="6" t="s">
        <v>72</v>
      </c>
      <c r="C142" s="6" t="s">
        <v>2142</v>
      </c>
      <c r="D142" s="77" t="s">
        <v>20</v>
      </c>
      <c r="E142" s="114">
        <v>3.3</v>
      </c>
      <c r="F142" s="12"/>
      <c r="G142" s="12">
        <f t="shared" si="9"/>
        <v>0</v>
      </c>
    </row>
    <row r="143" spans="1:7" ht="38.25">
      <c r="A143" s="131" t="s">
        <v>1303</v>
      </c>
      <c r="B143" s="6" t="s">
        <v>1009</v>
      </c>
      <c r="C143" s="6" t="s">
        <v>2143</v>
      </c>
      <c r="D143" s="77" t="s">
        <v>20</v>
      </c>
      <c r="E143" s="114">
        <v>24.25</v>
      </c>
      <c r="F143" s="12"/>
      <c r="G143" s="12">
        <f t="shared" si="9"/>
        <v>0</v>
      </c>
    </row>
    <row r="144" spans="1:7">
      <c r="A144" s="131" t="s">
        <v>1304</v>
      </c>
      <c r="B144" s="6" t="s">
        <v>72</v>
      </c>
      <c r="C144" s="6" t="s">
        <v>1645</v>
      </c>
      <c r="D144" s="28" t="s">
        <v>162</v>
      </c>
      <c r="E144" s="114">
        <v>1</v>
      </c>
      <c r="F144" s="12"/>
      <c r="G144" s="12">
        <f t="shared" si="9"/>
        <v>0</v>
      </c>
    </row>
    <row r="145" spans="1:7" ht="25.5" customHeight="1">
      <c r="A145" s="61" t="s">
        <v>163</v>
      </c>
      <c r="B145" s="138" t="s">
        <v>164</v>
      </c>
      <c r="C145" s="139"/>
      <c r="D145" s="61"/>
      <c r="E145" s="121"/>
      <c r="F145" s="65"/>
      <c r="G145" s="65">
        <f>SUM(G146:G161)</f>
        <v>0</v>
      </c>
    </row>
    <row r="146" spans="1:7" ht="25.5">
      <c r="A146" s="30" t="s">
        <v>1305</v>
      </c>
      <c r="B146" s="6" t="s">
        <v>165</v>
      </c>
      <c r="C146" s="6" t="s">
        <v>166</v>
      </c>
      <c r="D146" s="28" t="s">
        <v>7</v>
      </c>
      <c r="E146" s="119">
        <v>0.95</v>
      </c>
      <c r="F146" s="12"/>
      <c r="G146" s="12">
        <f>E146*F146</f>
        <v>0</v>
      </c>
    </row>
    <row r="147" spans="1:7" ht="38.25">
      <c r="A147" s="30" t="s">
        <v>1306</v>
      </c>
      <c r="B147" s="6" t="s">
        <v>126</v>
      </c>
      <c r="C147" s="6" t="s">
        <v>2096</v>
      </c>
      <c r="D147" s="28" t="s">
        <v>20</v>
      </c>
      <c r="E147" s="114">
        <f>63.5*3.06-E148-E149-E150</f>
        <v>58.319400000000002</v>
      </c>
      <c r="F147" s="12"/>
      <c r="G147" s="12">
        <f t="shared" ref="G147:G161" si="10">E147*F147</f>
        <v>0</v>
      </c>
    </row>
    <row r="148" spans="1:7" ht="25.5">
      <c r="A148" s="77" t="s">
        <v>1307</v>
      </c>
      <c r="B148" s="6" t="s">
        <v>126</v>
      </c>
      <c r="C148" s="6" t="s">
        <v>2095</v>
      </c>
      <c r="D148" s="77" t="s">
        <v>20</v>
      </c>
      <c r="E148" s="114">
        <f>(10.27*2-2.26+1.85*2+2.83)*3.02</f>
        <v>74.926200000000009</v>
      </c>
      <c r="F148" s="12"/>
      <c r="G148" s="12">
        <f t="shared" si="10"/>
        <v>0</v>
      </c>
    </row>
    <row r="149" spans="1:7" ht="38.25">
      <c r="A149" s="77" t="s">
        <v>1308</v>
      </c>
      <c r="B149" s="6" t="s">
        <v>126</v>
      </c>
      <c r="C149" s="6" t="s">
        <v>2097</v>
      </c>
      <c r="D149" s="77" t="s">
        <v>20</v>
      </c>
      <c r="E149" s="114">
        <f>(2.85*2+1.61*2+3.42+1.8*2+1.43)*3.02</f>
        <v>52.4574</v>
      </c>
      <c r="F149" s="12"/>
      <c r="G149" s="12">
        <f t="shared" si="10"/>
        <v>0</v>
      </c>
    </row>
    <row r="150" spans="1:7" ht="38.25">
      <c r="A150" s="77" t="s">
        <v>1309</v>
      </c>
      <c r="B150" s="6" t="s">
        <v>126</v>
      </c>
      <c r="C150" s="6" t="s">
        <v>2098</v>
      </c>
      <c r="D150" s="77" t="s">
        <v>20</v>
      </c>
      <c r="E150" s="114">
        <f>2.85*3.02</f>
        <v>8.6070000000000011</v>
      </c>
      <c r="F150" s="12"/>
      <c r="G150" s="12">
        <f t="shared" si="10"/>
        <v>0</v>
      </c>
    </row>
    <row r="151" spans="1:7" ht="25.5">
      <c r="A151" s="77" t="s">
        <v>1310</v>
      </c>
      <c r="B151" s="6" t="s">
        <v>167</v>
      </c>
      <c r="C151" s="6" t="s">
        <v>168</v>
      </c>
      <c r="D151" s="28" t="s">
        <v>93</v>
      </c>
      <c r="E151" s="114">
        <f>3.8+3.8+15.2</f>
        <v>22.799999999999997</v>
      </c>
      <c r="F151" s="12"/>
      <c r="G151" s="12">
        <f t="shared" si="10"/>
        <v>0</v>
      </c>
    </row>
    <row r="152" spans="1:7" ht="25.5">
      <c r="A152" s="77" t="s">
        <v>1311</v>
      </c>
      <c r="B152" s="6" t="s">
        <v>167</v>
      </c>
      <c r="C152" s="6" t="s">
        <v>169</v>
      </c>
      <c r="D152" s="28" t="s">
        <v>93</v>
      </c>
      <c r="E152" s="114">
        <f>3.8+3.8</f>
        <v>7.6</v>
      </c>
      <c r="F152" s="12"/>
      <c r="G152" s="12">
        <f t="shared" si="10"/>
        <v>0</v>
      </c>
    </row>
    <row r="153" spans="1:7" ht="25.5">
      <c r="A153" s="77" t="s">
        <v>1312</v>
      </c>
      <c r="B153" s="6" t="s">
        <v>167</v>
      </c>
      <c r="C153" s="6" t="s">
        <v>170</v>
      </c>
      <c r="D153" s="28" t="s">
        <v>93</v>
      </c>
      <c r="E153" s="114">
        <f>3.8+3.5</f>
        <v>7.3</v>
      </c>
      <c r="F153" s="12"/>
      <c r="G153" s="12">
        <f t="shared" si="10"/>
        <v>0</v>
      </c>
    </row>
    <row r="154" spans="1:7" ht="38.25">
      <c r="A154" s="77" t="s">
        <v>1313</v>
      </c>
      <c r="B154" s="6" t="s">
        <v>171</v>
      </c>
      <c r="C154" s="6" t="s">
        <v>1944</v>
      </c>
      <c r="D154" s="28" t="s">
        <v>93</v>
      </c>
      <c r="E154" s="119">
        <v>3.8</v>
      </c>
      <c r="F154" s="12"/>
      <c r="G154" s="12">
        <f t="shared" si="10"/>
        <v>0</v>
      </c>
    </row>
    <row r="155" spans="1:7" ht="25.5">
      <c r="A155" s="77" t="s">
        <v>1314</v>
      </c>
      <c r="B155" s="6" t="s">
        <v>1648</v>
      </c>
      <c r="C155" s="6" t="s">
        <v>1647</v>
      </c>
      <c r="D155" s="47" t="s">
        <v>20</v>
      </c>
      <c r="E155" s="119">
        <f>(E151*1+E152*1.5+E153*2+E154*1)</f>
        <v>52.599999999999994</v>
      </c>
      <c r="F155" s="12"/>
      <c r="G155" s="12">
        <f t="shared" si="10"/>
        <v>0</v>
      </c>
    </row>
    <row r="156" spans="1:7" ht="25.5">
      <c r="A156" s="77" t="s">
        <v>1315</v>
      </c>
      <c r="B156" s="6" t="s">
        <v>130</v>
      </c>
      <c r="C156" s="6" t="s">
        <v>131</v>
      </c>
      <c r="D156" s="28" t="s">
        <v>20</v>
      </c>
      <c r="E156" s="114">
        <f>56.4*3.06</f>
        <v>172.584</v>
      </c>
      <c r="F156" s="12"/>
      <c r="G156" s="12">
        <f t="shared" si="10"/>
        <v>0</v>
      </c>
    </row>
    <row r="157" spans="1:7">
      <c r="A157" s="77" t="s">
        <v>1316</v>
      </c>
      <c r="B157" s="6" t="s">
        <v>173</v>
      </c>
      <c r="C157" s="6" t="s">
        <v>174</v>
      </c>
      <c r="D157" s="28" t="s">
        <v>7</v>
      </c>
      <c r="E157" s="114">
        <f>172.584*0.02</f>
        <v>3.4516800000000001</v>
      </c>
      <c r="F157" s="12"/>
      <c r="G157" s="12">
        <f t="shared" si="10"/>
        <v>0</v>
      </c>
    </row>
    <row r="158" spans="1:7" ht="25.5">
      <c r="A158" s="77" t="s">
        <v>1649</v>
      </c>
      <c r="B158" s="6" t="s">
        <v>70</v>
      </c>
      <c r="C158" s="6" t="s">
        <v>71</v>
      </c>
      <c r="D158" s="28" t="s">
        <v>7</v>
      </c>
      <c r="E158" s="114">
        <f>172.584*0.02</f>
        <v>3.4516800000000001</v>
      </c>
      <c r="F158" s="12"/>
      <c r="G158" s="12">
        <f t="shared" si="10"/>
        <v>0</v>
      </c>
    </row>
    <row r="159" spans="1:7">
      <c r="A159" s="77" t="s">
        <v>2099</v>
      </c>
      <c r="B159" s="6" t="s">
        <v>72</v>
      </c>
      <c r="C159" s="6" t="s">
        <v>73</v>
      </c>
      <c r="D159" s="28" t="s">
        <v>7</v>
      </c>
      <c r="E159" s="114">
        <f>172.584*0.02</f>
        <v>3.4516800000000001</v>
      </c>
      <c r="F159" s="12"/>
      <c r="G159" s="12">
        <f t="shared" si="10"/>
        <v>0</v>
      </c>
    </row>
    <row r="160" spans="1:7" ht="25.5">
      <c r="A160" s="77" t="s">
        <v>2100</v>
      </c>
      <c r="B160" s="6" t="s">
        <v>175</v>
      </c>
      <c r="C160" s="6" t="s">
        <v>2146</v>
      </c>
      <c r="D160" s="28" t="s">
        <v>20</v>
      </c>
      <c r="E160" s="114">
        <f>E156</f>
        <v>172.584</v>
      </c>
      <c r="F160" s="12"/>
      <c r="G160" s="12">
        <f t="shared" si="10"/>
        <v>0</v>
      </c>
    </row>
    <row r="161" spans="1:7" ht="25.5">
      <c r="A161" s="77" t="s">
        <v>2101</v>
      </c>
      <c r="B161" s="6" t="s">
        <v>75</v>
      </c>
      <c r="C161" s="6" t="s">
        <v>2147</v>
      </c>
      <c r="D161" s="28" t="s">
        <v>20</v>
      </c>
      <c r="E161" s="119">
        <v>167.1</v>
      </c>
      <c r="F161" s="12"/>
      <c r="G161" s="12">
        <f t="shared" si="10"/>
        <v>0</v>
      </c>
    </row>
    <row r="162" spans="1:7" ht="25.5" customHeight="1">
      <c r="A162" s="61" t="s">
        <v>176</v>
      </c>
      <c r="B162" s="138" t="s">
        <v>218</v>
      </c>
      <c r="C162" s="139"/>
      <c r="D162" s="61"/>
      <c r="E162" s="121"/>
      <c r="F162" s="65"/>
      <c r="G162" s="65">
        <f>SUM(G163:G170)</f>
        <v>0</v>
      </c>
    </row>
    <row r="163" spans="1:7" ht="38.25">
      <c r="A163" s="30" t="s">
        <v>1317</v>
      </c>
      <c r="B163" s="6" t="s">
        <v>178</v>
      </c>
      <c r="C163" s="6" t="s">
        <v>179</v>
      </c>
      <c r="D163" s="28" t="s">
        <v>20</v>
      </c>
      <c r="E163" s="119">
        <v>167.1</v>
      </c>
      <c r="F163" s="12"/>
      <c r="G163" s="12">
        <f t="shared" ref="G163:G170" si="11">E163*F163</f>
        <v>0</v>
      </c>
    </row>
    <row r="164" spans="1:7" ht="38.25">
      <c r="A164" s="30" t="s">
        <v>1318</v>
      </c>
      <c r="B164" s="6" t="s">
        <v>180</v>
      </c>
      <c r="C164" s="6" t="s">
        <v>181</v>
      </c>
      <c r="D164" s="28" t="s">
        <v>20</v>
      </c>
      <c r="E164" s="114">
        <f>(E147+E148+E149+E150)*2+E155</f>
        <v>441.22</v>
      </c>
      <c r="F164" s="12"/>
      <c r="G164" s="12">
        <f t="shared" si="11"/>
        <v>0</v>
      </c>
    </row>
    <row r="165" spans="1:7" ht="25.5">
      <c r="A165" s="30" t="s">
        <v>1319</v>
      </c>
      <c r="B165" s="6" t="s">
        <v>182</v>
      </c>
      <c r="C165" s="6" t="s">
        <v>183</v>
      </c>
      <c r="D165" s="28" t="s">
        <v>20</v>
      </c>
      <c r="E165" s="119">
        <v>73.900000000000006</v>
      </c>
      <c r="F165" s="12"/>
      <c r="G165" s="12">
        <f t="shared" si="11"/>
        <v>0</v>
      </c>
    </row>
    <row r="166" spans="1:7" ht="38.25">
      <c r="A166" s="30" t="s">
        <v>1320</v>
      </c>
      <c r="B166" s="6" t="s">
        <v>184</v>
      </c>
      <c r="C166" s="6" t="s">
        <v>2144</v>
      </c>
      <c r="D166" s="28" t="s">
        <v>20</v>
      </c>
      <c r="E166" s="114">
        <v>73.900000000000006</v>
      </c>
      <c r="F166" s="12"/>
      <c r="G166" s="12">
        <f t="shared" si="11"/>
        <v>0</v>
      </c>
    </row>
    <row r="167" spans="1:7">
      <c r="A167" s="77" t="s">
        <v>1321</v>
      </c>
      <c r="B167" s="6" t="s">
        <v>1975</v>
      </c>
      <c r="C167" s="6" t="s">
        <v>1976</v>
      </c>
      <c r="D167" s="77" t="s">
        <v>20</v>
      </c>
      <c r="E167" s="119">
        <v>49.8</v>
      </c>
      <c r="F167" s="12"/>
      <c r="G167" s="12">
        <f t="shared" si="11"/>
        <v>0</v>
      </c>
    </row>
    <row r="168" spans="1:7" ht="25.5">
      <c r="A168" s="77" t="s">
        <v>1322</v>
      </c>
      <c r="B168" s="6" t="s">
        <v>185</v>
      </c>
      <c r="C168" s="6" t="s">
        <v>186</v>
      </c>
      <c r="D168" s="28" t="s">
        <v>20</v>
      </c>
      <c r="E168" s="114">
        <f>E164-E165</f>
        <v>367.32000000000005</v>
      </c>
      <c r="F168" s="12"/>
      <c r="G168" s="12">
        <f t="shared" si="11"/>
        <v>0</v>
      </c>
    </row>
    <row r="169" spans="1:7" ht="25.5">
      <c r="A169" s="77" t="s">
        <v>1323</v>
      </c>
      <c r="B169" s="6" t="s">
        <v>185</v>
      </c>
      <c r="C169" s="6" t="s">
        <v>187</v>
      </c>
      <c r="D169" s="28" t="s">
        <v>20</v>
      </c>
      <c r="E169" s="114">
        <f>167.1+E167</f>
        <v>216.89999999999998</v>
      </c>
      <c r="F169" s="12"/>
      <c r="G169" s="12">
        <f t="shared" si="11"/>
        <v>0</v>
      </c>
    </row>
    <row r="170" spans="1:7" ht="25.5">
      <c r="A170" s="77" t="s">
        <v>1978</v>
      </c>
      <c r="B170" s="6" t="s">
        <v>188</v>
      </c>
      <c r="C170" s="6" t="s">
        <v>1973</v>
      </c>
      <c r="D170" s="28" t="s">
        <v>93</v>
      </c>
      <c r="E170" s="114">
        <v>16</v>
      </c>
      <c r="F170" s="12"/>
      <c r="G170" s="12">
        <f t="shared" si="11"/>
        <v>0</v>
      </c>
    </row>
    <row r="171" spans="1:7" ht="21" customHeight="1">
      <c r="A171" s="41">
        <v>4</v>
      </c>
      <c r="B171" s="38" t="s">
        <v>190</v>
      </c>
      <c r="C171" s="73"/>
      <c r="D171" s="41"/>
      <c r="E171" s="118"/>
      <c r="F171" s="42"/>
      <c r="G171" s="39">
        <f>SUM(G172,G184,G197,G213)</f>
        <v>0</v>
      </c>
    </row>
    <row r="172" spans="1:7" ht="21" customHeight="1">
      <c r="A172" s="61" t="s">
        <v>191</v>
      </c>
      <c r="B172" s="138" t="s">
        <v>96</v>
      </c>
      <c r="C172" s="139"/>
      <c r="D172" s="61"/>
      <c r="E172" s="121"/>
      <c r="F172" s="65"/>
      <c r="G172" s="65">
        <f>SUM(G173:G183)</f>
        <v>0</v>
      </c>
    </row>
    <row r="173" spans="1:7" ht="25.5">
      <c r="A173" s="30" t="s">
        <v>1324</v>
      </c>
      <c r="B173" s="6" t="s">
        <v>100</v>
      </c>
      <c r="C173" s="6" t="s">
        <v>101</v>
      </c>
      <c r="D173" s="28" t="s">
        <v>102</v>
      </c>
      <c r="E173" s="114">
        <v>9</v>
      </c>
      <c r="F173" s="12"/>
      <c r="G173" s="12">
        <f>E173*F173</f>
        <v>0</v>
      </c>
    </row>
    <row r="174" spans="1:7">
      <c r="A174" s="30" t="s">
        <v>1325</v>
      </c>
      <c r="B174" s="6" t="s">
        <v>151</v>
      </c>
      <c r="C174" s="6" t="s">
        <v>152</v>
      </c>
      <c r="D174" s="28" t="s">
        <v>93</v>
      </c>
      <c r="E174" s="114">
        <f>1.1*12</f>
        <v>13.200000000000001</v>
      </c>
      <c r="F174" s="12"/>
      <c r="G174" s="12">
        <f t="shared" ref="G174:G183" si="12">E174*F174</f>
        <v>0</v>
      </c>
    </row>
    <row r="175" spans="1:7">
      <c r="A175" s="30" t="s">
        <v>1326</v>
      </c>
      <c r="B175" s="6" t="s">
        <v>192</v>
      </c>
      <c r="C175" s="6" t="s">
        <v>193</v>
      </c>
      <c r="D175" s="28" t="s">
        <v>20</v>
      </c>
      <c r="E175" s="114">
        <v>193.5</v>
      </c>
      <c r="F175" s="12"/>
      <c r="G175" s="12">
        <f t="shared" si="12"/>
        <v>0</v>
      </c>
    </row>
    <row r="176" spans="1:7">
      <c r="A176" s="30" t="s">
        <v>1327</v>
      </c>
      <c r="B176" s="6" t="s">
        <v>194</v>
      </c>
      <c r="C176" s="6" t="s">
        <v>195</v>
      </c>
      <c r="D176" s="28" t="s">
        <v>20</v>
      </c>
      <c r="E176" s="114">
        <v>193.5</v>
      </c>
      <c r="F176" s="12"/>
      <c r="G176" s="12">
        <f t="shared" si="12"/>
        <v>0</v>
      </c>
    </row>
    <row r="177" spans="1:7">
      <c r="A177" s="30" t="s">
        <v>1328</v>
      </c>
      <c r="B177" s="6" t="s">
        <v>196</v>
      </c>
      <c r="C177" s="6" t="s">
        <v>197</v>
      </c>
      <c r="D177" s="28" t="s">
        <v>20</v>
      </c>
      <c r="E177" s="114">
        <v>193.5</v>
      </c>
      <c r="F177" s="12"/>
      <c r="G177" s="12">
        <f t="shared" si="12"/>
        <v>0</v>
      </c>
    </row>
    <row r="178" spans="1:7">
      <c r="A178" s="30" t="s">
        <v>1329</v>
      </c>
      <c r="B178" s="6" t="s">
        <v>198</v>
      </c>
      <c r="C178" s="6" t="s">
        <v>199</v>
      </c>
      <c r="D178" s="28" t="s">
        <v>93</v>
      </c>
      <c r="E178" s="114">
        <f>11*19</f>
        <v>209</v>
      </c>
      <c r="F178" s="12"/>
      <c r="G178" s="12">
        <f t="shared" si="12"/>
        <v>0</v>
      </c>
    </row>
    <row r="179" spans="1:7" ht="25.5">
      <c r="A179" s="30" t="s">
        <v>1330</v>
      </c>
      <c r="B179" s="6" t="s">
        <v>200</v>
      </c>
      <c r="C179" s="6" t="s">
        <v>201</v>
      </c>
      <c r="D179" s="28" t="s">
        <v>102</v>
      </c>
      <c r="E179" s="114">
        <v>2</v>
      </c>
      <c r="F179" s="12"/>
      <c r="G179" s="12">
        <f t="shared" si="12"/>
        <v>0</v>
      </c>
    </row>
    <row r="180" spans="1:7">
      <c r="A180" s="30" t="s">
        <v>1331</v>
      </c>
      <c r="B180" s="6" t="s">
        <v>98</v>
      </c>
      <c r="C180" s="6" t="s">
        <v>99</v>
      </c>
      <c r="D180" s="28" t="s">
        <v>7</v>
      </c>
      <c r="E180" s="114">
        <f>24.4+7.25+1.8+25.9</f>
        <v>59.349999999999994</v>
      </c>
      <c r="F180" s="12"/>
      <c r="G180" s="12">
        <f t="shared" si="12"/>
        <v>0</v>
      </c>
    </row>
    <row r="181" spans="1:7" ht="25.5">
      <c r="A181" s="30" t="s">
        <v>1332</v>
      </c>
      <c r="B181" s="6" t="s">
        <v>202</v>
      </c>
      <c r="C181" s="6" t="s">
        <v>203</v>
      </c>
      <c r="D181" s="28" t="s">
        <v>20</v>
      </c>
      <c r="E181" s="114">
        <f>18.2*2*3</f>
        <v>109.19999999999999</v>
      </c>
      <c r="F181" s="12"/>
      <c r="G181" s="12">
        <f t="shared" si="12"/>
        <v>0</v>
      </c>
    </row>
    <row r="182" spans="1:7" ht="25.5">
      <c r="A182" s="30" t="s">
        <v>1333</v>
      </c>
      <c r="B182" s="6" t="s">
        <v>70</v>
      </c>
      <c r="C182" s="6" t="s">
        <v>71</v>
      </c>
      <c r="D182" s="28" t="s">
        <v>7</v>
      </c>
      <c r="E182" s="114">
        <f>9*0.08*2.1+21.012*0.08+13.2*0.4*0.04+193.5*0.25+109.2*0.08+59.35+209*0.2*0.2</f>
        <v>128.22516000000002</v>
      </c>
      <c r="F182" s="12"/>
      <c r="G182" s="12">
        <f t="shared" si="12"/>
        <v>0</v>
      </c>
    </row>
    <row r="183" spans="1:7">
      <c r="A183" s="30" t="s">
        <v>1334</v>
      </c>
      <c r="B183" s="6" t="s">
        <v>72</v>
      </c>
      <c r="C183" s="6" t="s">
        <v>73</v>
      </c>
      <c r="D183" s="28" t="s">
        <v>7</v>
      </c>
      <c r="E183" s="114">
        <f>9*0.08*2.1+21.012*0.08+13.2*0.4*0.04+193.5*0.25+109.2*0.08+59.35+209*0.2*0.2</f>
        <v>128.22516000000002</v>
      </c>
      <c r="F183" s="12"/>
      <c r="G183" s="12">
        <f t="shared" si="12"/>
        <v>0</v>
      </c>
    </row>
    <row r="184" spans="1:7" ht="27" customHeight="1">
      <c r="A184" s="61" t="s">
        <v>204</v>
      </c>
      <c r="B184" s="138" t="s">
        <v>205</v>
      </c>
      <c r="C184" s="139"/>
      <c r="D184" s="61"/>
      <c r="E184" s="121"/>
      <c r="F184" s="65"/>
      <c r="G184" s="65">
        <f>SUM(G185:G196)</f>
        <v>0</v>
      </c>
    </row>
    <row r="185" spans="1:7" ht="38.25">
      <c r="A185" s="30" t="s">
        <v>1336</v>
      </c>
      <c r="B185" s="6" t="s">
        <v>206</v>
      </c>
      <c r="C185" s="6" t="s">
        <v>207</v>
      </c>
      <c r="D185" s="28" t="s">
        <v>20</v>
      </c>
      <c r="E185" s="114">
        <v>172.9</v>
      </c>
      <c r="F185" s="12"/>
      <c r="G185" s="12">
        <f>E185*F185</f>
        <v>0</v>
      </c>
    </row>
    <row r="186" spans="1:7" ht="25.5">
      <c r="A186" s="30" t="s">
        <v>1337</v>
      </c>
      <c r="B186" s="6" t="s">
        <v>116</v>
      </c>
      <c r="C186" s="6" t="s">
        <v>208</v>
      </c>
      <c r="D186" s="28" t="s">
        <v>20</v>
      </c>
      <c r="E186" s="114">
        <f>172.9*1.1</f>
        <v>190.19000000000003</v>
      </c>
      <c r="F186" s="12"/>
      <c r="G186" s="12">
        <f t="shared" ref="G186:G196" si="13">E186*F186</f>
        <v>0</v>
      </c>
    </row>
    <row r="187" spans="1:7" ht="38.25">
      <c r="A187" s="30" t="s">
        <v>1338</v>
      </c>
      <c r="B187" s="6" t="s">
        <v>118</v>
      </c>
      <c r="C187" s="6" t="s">
        <v>119</v>
      </c>
      <c r="D187" s="28" t="s">
        <v>20</v>
      </c>
      <c r="E187" s="114">
        <v>172.9</v>
      </c>
      <c r="F187" s="12"/>
      <c r="G187" s="12">
        <f t="shared" si="13"/>
        <v>0</v>
      </c>
    </row>
    <row r="188" spans="1:7" ht="38.25">
      <c r="A188" s="30" t="s">
        <v>1339</v>
      </c>
      <c r="B188" s="6" t="s">
        <v>120</v>
      </c>
      <c r="C188" s="6" t="s">
        <v>209</v>
      </c>
      <c r="D188" s="28" t="s">
        <v>20</v>
      </c>
      <c r="E188" s="114">
        <v>172.9</v>
      </c>
      <c r="F188" s="12"/>
      <c r="G188" s="12">
        <f t="shared" si="13"/>
        <v>0</v>
      </c>
    </row>
    <row r="189" spans="1:7" ht="51">
      <c r="A189" s="30" t="s">
        <v>1340</v>
      </c>
      <c r="B189" s="6" t="s">
        <v>1009</v>
      </c>
      <c r="C189" s="6" t="s">
        <v>2065</v>
      </c>
      <c r="D189" s="28" t="s">
        <v>20</v>
      </c>
      <c r="E189" s="114">
        <v>61.6</v>
      </c>
      <c r="F189" s="12"/>
      <c r="G189" s="12">
        <f t="shared" si="13"/>
        <v>0</v>
      </c>
    </row>
    <row r="190" spans="1:7" ht="38.25">
      <c r="A190" s="30" t="s">
        <v>1341</v>
      </c>
      <c r="B190" s="6" t="s">
        <v>1009</v>
      </c>
      <c r="C190" s="6" t="s">
        <v>2066</v>
      </c>
      <c r="D190" s="28" t="s">
        <v>93</v>
      </c>
      <c r="E190" s="114">
        <f>10.5+9.5+4.6+5.9+9.7+27.3+12.2+4.5+5</f>
        <v>89.2</v>
      </c>
      <c r="F190" s="12"/>
      <c r="G190" s="12">
        <f t="shared" si="13"/>
        <v>0</v>
      </c>
    </row>
    <row r="191" spans="1:7" ht="38.25">
      <c r="A191" s="30" t="s">
        <v>1342</v>
      </c>
      <c r="B191" s="6" t="s">
        <v>154</v>
      </c>
      <c r="C191" s="6" t="s">
        <v>155</v>
      </c>
      <c r="D191" s="28" t="s">
        <v>20</v>
      </c>
      <c r="E191" s="114">
        <v>56.8</v>
      </c>
      <c r="F191" s="12"/>
      <c r="G191" s="12">
        <f t="shared" si="13"/>
        <v>0</v>
      </c>
    </row>
    <row r="192" spans="1:7" ht="51">
      <c r="A192" s="30" t="s">
        <v>1343</v>
      </c>
      <c r="B192" s="6" t="s">
        <v>1009</v>
      </c>
      <c r="C192" s="6" t="s">
        <v>2069</v>
      </c>
      <c r="D192" s="28" t="s">
        <v>20</v>
      </c>
      <c r="E192" s="114">
        <v>56.8</v>
      </c>
      <c r="F192" s="12"/>
      <c r="G192" s="12">
        <f t="shared" si="13"/>
        <v>0</v>
      </c>
    </row>
    <row r="193" spans="1:12">
      <c r="A193" s="30" t="s">
        <v>1344</v>
      </c>
      <c r="B193" s="6" t="s">
        <v>158</v>
      </c>
      <c r="C193" s="6" t="s">
        <v>159</v>
      </c>
      <c r="D193" s="28" t="s">
        <v>93</v>
      </c>
      <c r="E193" s="114">
        <f>17.2+26.7+7.5</f>
        <v>51.4</v>
      </c>
      <c r="F193" s="12"/>
      <c r="G193" s="12">
        <f t="shared" si="13"/>
        <v>0</v>
      </c>
    </row>
    <row r="194" spans="1:12" ht="38.25">
      <c r="A194" s="30" t="s">
        <v>1345</v>
      </c>
      <c r="B194" s="6" t="s">
        <v>154</v>
      </c>
      <c r="C194" s="6" t="s">
        <v>155</v>
      </c>
      <c r="D194" s="28" t="s">
        <v>20</v>
      </c>
      <c r="E194" s="114">
        <v>54.5</v>
      </c>
      <c r="F194" s="12"/>
      <c r="G194" s="12">
        <f t="shared" si="13"/>
        <v>0</v>
      </c>
    </row>
    <row r="195" spans="1:12">
      <c r="A195" s="30" t="s">
        <v>1346</v>
      </c>
      <c r="B195" s="6" t="s">
        <v>1009</v>
      </c>
      <c r="C195" s="6" t="s">
        <v>2070</v>
      </c>
      <c r="D195" s="28" t="s">
        <v>20</v>
      </c>
      <c r="E195" s="114">
        <v>54.5</v>
      </c>
      <c r="F195" s="12"/>
      <c r="G195" s="12">
        <f t="shared" si="13"/>
        <v>0</v>
      </c>
    </row>
    <row r="196" spans="1:12">
      <c r="A196" s="30" t="s">
        <v>1347</v>
      </c>
      <c r="B196" s="6" t="s">
        <v>2071</v>
      </c>
      <c r="C196" s="6" t="s">
        <v>2076</v>
      </c>
      <c r="D196" s="28" t="s">
        <v>93</v>
      </c>
      <c r="E196" s="114">
        <f>18.7+14.2+13.6</f>
        <v>46.5</v>
      </c>
      <c r="F196" s="12"/>
      <c r="G196" s="12">
        <f t="shared" si="13"/>
        <v>0</v>
      </c>
    </row>
    <row r="197" spans="1:12" ht="25.5" customHeight="1">
      <c r="A197" s="61" t="s">
        <v>210</v>
      </c>
      <c r="B197" s="138" t="s">
        <v>164</v>
      </c>
      <c r="C197" s="139"/>
      <c r="D197" s="61"/>
      <c r="E197" s="121"/>
      <c r="F197" s="65"/>
      <c r="G197" s="65">
        <f>SUM(G198:G212)</f>
        <v>0</v>
      </c>
    </row>
    <row r="198" spans="1:12" ht="25.5">
      <c r="A198" s="30" t="s">
        <v>1348</v>
      </c>
      <c r="B198" s="6" t="s">
        <v>126</v>
      </c>
      <c r="C198" s="6" t="s">
        <v>127</v>
      </c>
      <c r="D198" s="28" t="s">
        <v>20</v>
      </c>
      <c r="E198" s="114">
        <f>67.3*3.06-E199-E200-E201</f>
        <v>108.45239999999995</v>
      </c>
      <c r="F198" s="12"/>
      <c r="G198" s="12">
        <f>E198*F198</f>
        <v>0</v>
      </c>
    </row>
    <row r="199" spans="1:12" ht="38.25">
      <c r="A199" s="77" t="s">
        <v>1349</v>
      </c>
      <c r="B199" s="6" t="s">
        <v>126</v>
      </c>
      <c r="C199" s="6" t="s">
        <v>2102</v>
      </c>
      <c r="D199" s="77" t="s">
        <v>20</v>
      </c>
      <c r="E199" s="114">
        <f>(2.34+1.6*2+1.1*2+3.2)*3.02</f>
        <v>33.038800000000002</v>
      </c>
      <c r="F199" s="12"/>
      <c r="G199" s="12">
        <f t="shared" ref="G199:G212" si="14">E199*F199</f>
        <v>0</v>
      </c>
    </row>
    <row r="200" spans="1:12" ht="38.25">
      <c r="A200" s="77" t="s">
        <v>1350</v>
      </c>
      <c r="B200" s="6" t="s">
        <v>126</v>
      </c>
      <c r="C200" s="6" t="s">
        <v>2103</v>
      </c>
      <c r="D200" s="77" t="s">
        <v>20</v>
      </c>
      <c r="E200" s="114">
        <f>3.2*3.02</f>
        <v>9.6640000000000015</v>
      </c>
      <c r="F200" s="12"/>
      <c r="G200" s="12">
        <f t="shared" si="14"/>
        <v>0</v>
      </c>
    </row>
    <row r="201" spans="1:12" ht="25.5">
      <c r="A201" s="77" t="s">
        <v>1351</v>
      </c>
      <c r="B201" s="6" t="s">
        <v>126</v>
      </c>
      <c r="C201" s="6" t="s">
        <v>2104</v>
      </c>
      <c r="D201" s="77" t="s">
        <v>20</v>
      </c>
      <c r="E201" s="114">
        <f>(10.27*2-2.4)*3.02</f>
        <v>54.782800000000002</v>
      </c>
      <c r="F201" s="12"/>
      <c r="G201" s="12">
        <f t="shared" si="14"/>
        <v>0</v>
      </c>
    </row>
    <row r="202" spans="1:12" ht="25.5">
      <c r="A202" s="77" t="s">
        <v>1352</v>
      </c>
      <c r="B202" s="6" t="s">
        <v>167</v>
      </c>
      <c r="C202" s="6" t="s">
        <v>168</v>
      </c>
      <c r="D202" s="28" t="s">
        <v>93</v>
      </c>
      <c r="E202" s="114">
        <f>3.8+3.8+15.2</f>
        <v>22.799999999999997</v>
      </c>
      <c r="F202" s="12"/>
      <c r="G202" s="12">
        <f t="shared" si="14"/>
        <v>0</v>
      </c>
    </row>
    <row r="203" spans="1:12" ht="25.5">
      <c r="A203" s="77" t="s">
        <v>1353</v>
      </c>
      <c r="B203" s="6" t="s">
        <v>167</v>
      </c>
      <c r="C203" s="6" t="s">
        <v>169</v>
      </c>
      <c r="D203" s="28" t="s">
        <v>93</v>
      </c>
      <c r="E203" s="114">
        <f>3.8+3.8</f>
        <v>7.6</v>
      </c>
      <c r="F203" s="12"/>
      <c r="G203" s="12">
        <f t="shared" si="14"/>
        <v>0</v>
      </c>
    </row>
    <row r="204" spans="1:12" ht="25.5">
      <c r="A204" s="77" t="s">
        <v>1354</v>
      </c>
      <c r="B204" s="6" t="s">
        <v>167</v>
      </c>
      <c r="C204" s="6" t="s">
        <v>170</v>
      </c>
      <c r="D204" s="28" t="s">
        <v>93</v>
      </c>
      <c r="E204" s="114">
        <f>3.8+3.8</f>
        <v>7.6</v>
      </c>
      <c r="F204" s="12"/>
      <c r="G204" s="12">
        <f t="shared" si="14"/>
        <v>0</v>
      </c>
    </row>
    <row r="205" spans="1:12" ht="25.5">
      <c r="A205" s="77" t="s">
        <v>1355</v>
      </c>
      <c r="B205" s="6" t="s">
        <v>171</v>
      </c>
      <c r="C205" s="6" t="s">
        <v>172</v>
      </c>
      <c r="D205" s="28" t="s">
        <v>93</v>
      </c>
      <c r="E205" s="114">
        <v>3.8</v>
      </c>
      <c r="F205" s="12"/>
      <c r="G205" s="12">
        <f t="shared" si="14"/>
        <v>0</v>
      </c>
    </row>
    <row r="206" spans="1:12" ht="25.5">
      <c r="A206" s="77" t="s">
        <v>1356</v>
      </c>
      <c r="B206" s="6" t="s">
        <v>130</v>
      </c>
      <c r="C206" s="6" t="s">
        <v>131</v>
      </c>
      <c r="D206" s="28" t="s">
        <v>20</v>
      </c>
      <c r="E206" s="114">
        <f>57.7*3.06</f>
        <v>176.56200000000001</v>
      </c>
      <c r="F206" s="12"/>
      <c r="G206" s="12">
        <f t="shared" si="14"/>
        <v>0</v>
      </c>
    </row>
    <row r="207" spans="1:12">
      <c r="A207" s="77" t="s">
        <v>1357</v>
      </c>
      <c r="B207" s="6" t="s">
        <v>173</v>
      </c>
      <c r="C207" s="6" t="s">
        <v>211</v>
      </c>
      <c r="D207" s="28" t="s">
        <v>7</v>
      </c>
      <c r="E207" s="114">
        <f>176.562*0.02</f>
        <v>3.5312400000000004</v>
      </c>
      <c r="F207" s="12"/>
      <c r="G207" s="12">
        <f t="shared" si="14"/>
        <v>0</v>
      </c>
    </row>
    <row r="208" spans="1:12" ht="25.5">
      <c r="A208" s="77" t="s">
        <v>1358</v>
      </c>
      <c r="B208" s="6" t="s">
        <v>70</v>
      </c>
      <c r="C208" s="6" t="s">
        <v>71</v>
      </c>
      <c r="D208" s="28" t="s">
        <v>7</v>
      </c>
      <c r="E208" s="114">
        <f>176.562*0.02</f>
        <v>3.5312400000000004</v>
      </c>
      <c r="F208" s="12"/>
      <c r="G208" s="12">
        <f t="shared" si="14"/>
        <v>0</v>
      </c>
      <c r="J208" s="31"/>
      <c r="K208" s="31"/>
      <c r="L208" s="31"/>
    </row>
    <row r="209" spans="1:12">
      <c r="A209" s="77" t="s">
        <v>1650</v>
      </c>
      <c r="B209" s="6" t="s">
        <v>72</v>
      </c>
      <c r="C209" s="6" t="s">
        <v>73</v>
      </c>
      <c r="D209" s="28" t="s">
        <v>7</v>
      </c>
      <c r="E209" s="114">
        <f>176.562*0.02</f>
        <v>3.5312400000000004</v>
      </c>
      <c r="F209" s="12"/>
      <c r="G209" s="12">
        <f t="shared" si="14"/>
        <v>0</v>
      </c>
      <c r="J209" s="31"/>
      <c r="K209" s="31"/>
      <c r="L209" s="31"/>
    </row>
    <row r="210" spans="1:12" ht="25.5">
      <c r="A210" s="77" t="s">
        <v>2105</v>
      </c>
      <c r="B210" s="6" t="s">
        <v>1648</v>
      </c>
      <c r="C210" s="6" t="s">
        <v>1647</v>
      </c>
      <c r="D210" s="47" t="s">
        <v>20</v>
      </c>
      <c r="E210" s="119">
        <f>E202*1+E203*1.5+E204*2+E205*1</f>
        <v>53.199999999999989</v>
      </c>
      <c r="F210" s="12"/>
      <c r="G210" s="12">
        <f t="shared" si="14"/>
        <v>0</v>
      </c>
      <c r="J210" s="31"/>
      <c r="K210" s="31"/>
      <c r="L210" s="31"/>
    </row>
    <row r="211" spans="1:12" ht="25.5">
      <c r="A211" s="77" t="s">
        <v>2106</v>
      </c>
      <c r="B211" s="6" t="s">
        <v>175</v>
      </c>
      <c r="C211" s="6" t="s">
        <v>2146</v>
      </c>
      <c r="D211" s="28" t="s">
        <v>20</v>
      </c>
      <c r="E211" s="114">
        <f>E206</f>
        <v>176.56200000000001</v>
      </c>
      <c r="F211" s="12"/>
      <c r="G211" s="12">
        <f t="shared" si="14"/>
        <v>0</v>
      </c>
      <c r="J211" s="31"/>
      <c r="K211" s="31"/>
      <c r="L211" s="31"/>
    </row>
    <row r="212" spans="1:12" ht="25.5">
      <c r="A212" s="77" t="s">
        <v>2107</v>
      </c>
      <c r="B212" s="6" t="s">
        <v>75</v>
      </c>
      <c r="C212" s="6" t="s">
        <v>2147</v>
      </c>
      <c r="D212" s="28" t="s">
        <v>20</v>
      </c>
      <c r="E212" s="114">
        <v>172.9</v>
      </c>
      <c r="F212" s="12"/>
      <c r="G212" s="12">
        <f t="shared" si="14"/>
        <v>0</v>
      </c>
      <c r="J212" s="31"/>
      <c r="K212" s="31"/>
      <c r="L212" s="31"/>
    </row>
    <row r="213" spans="1:12" ht="25.5" customHeight="1">
      <c r="A213" s="61" t="s">
        <v>212</v>
      </c>
      <c r="B213" s="138" t="s">
        <v>218</v>
      </c>
      <c r="C213" s="139"/>
      <c r="D213" s="61"/>
      <c r="E213" s="121"/>
      <c r="F213" s="65"/>
      <c r="G213" s="65">
        <f>SUM(G214:G221)</f>
        <v>0</v>
      </c>
      <c r="J213" s="31"/>
      <c r="K213" s="31"/>
      <c r="L213" s="31"/>
    </row>
    <row r="214" spans="1:12" ht="38.25">
      <c r="A214" s="30" t="s">
        <v>1359</v>
      </c>
      <c r="B214" s="6" t="s">
        <v>178</v>
      </c>
      <c r="C214" s="6" t="s">
        <v>179</v>
      </c>
      <c r="D214" s="28" t="s">
        <v>20</v>
      </c>
      <c r="E214" s="114">
        <v>172.9</v>
      </c>
      <c r="F214" s="12"/>
      <c r="G214" s="12">
        <f>E214*F214</f>
        <v>0</v>
      </c>
      <c r="J214" s="31"/>
      <c r="K214" s="32"/>
      <c r="L214" s="31"/>
    </row>
    <row r="215" spans="1:12" ht="38.25">
      <c r="A215" s="30" t="s">
        <v>1360</v>
      </c>
      <c r="B215" s="6" t="s">
        <v>180</v>
      </c>
      <c r="C215" s="6" t="s">
        <v>181</v>
      </c>
      <c r="D215" s="28" t="s">
        <v>20</v>
      </c>
      <c r="E215" s="114">
        <f>(E198+E199+E200+E201)*2+E210</f>
        <v>465.07599999999996</v>
      </c>
      <c r="F215" s="12"/>
      <c r="G215" s="12">
        <f t="shared" ref="G215:G221" si="15">E215*F215</f>
        <v>0</v>
      </c>
      <c r="J215" s="31"/>
      <c r="K215" s="31"/>
      <c r="L215" s="31"/>
    </row>
    <row r="216" spans="1:12" ht="25.5">
      <c r="A216" s="30" t="s">
        <v>1361</v>
      </c>
      <c r="B216" s="6" t="s">
        <v>182</v>
      </c>
      <c r="C216" s="6" t="s">
        <v>183</v>
      </c>
      <c r="D216" s="28" t="s">
        <v>20</v>
      </c>
      <c r="E216" s="114">
        <v>62.9</v>
      </c>
      <c r="F216" s="12"/>
      <c r="G216" s="12">
        <f t="shared" si="15"/>
        <v>0</v>
      </c>
    </row>
    <row r="217" spans="1:12" ht="38.25">
      <c r="A217" s="30" t="s">
        <v>1362</v>
      </c>
      <c r="B217" s="6" t="s">
        <v>184</v>
      </c>
      <c r="C217" s="6" t="s">
        <v>2145</v>
      </c>
      <c r="D217" s="28" t="s">
        <v>20</v>
      </c>
      <c r="E217" s="114">
        <v>62.9</v>
      </c>
      <c r="F217" s="12"/>
      <c r="G217" s="12">
        <f t="shared" si="15"/>
        <v>0</v>
      </c>
    </row>
    <row r="218" spans="1:12">
      <c r="A218" s="77" t="s">
        <v>1363</v>
      </c>
      <c r="B218" s="6" t="s">
        <v>1975</v>
      </c>
      <c r="C218" s="6" t="s">
        <v>1976</v>
      </c>
      <c r="D218" s="77" t="s">
        <v>20</v>
      </c>
      <c r="E218" s="119">
        <v>51.8</v>
      </c>
      <c r="F218" s="12"/>
      <c r="G218" s="12">
        <f t="shared" si="15"/>
        <v>0</v>
      </c>
    </row>
    <row r="219" spans="1:12" ht="25.5">
      <c r="A219" s="77" t="s">
        <v>1364</v>
      </c>
      <c r="B219" s="6" t="s">
        <v>185</v>
      </c>
      <c r="C219" s="6" t="s">
        <v>186</v>
      </c>
      <c r="D219" s="28" t="s">
        <v>20</v>
      </c>
      <c r="E219" s="114">
        <f>E215-E216</f>
        <v>402.17599999999999</v>
      </c>
      <c r="F219" s="12"/>
      <c r="G219" s="12">
        <f t="shared" si="15"/>
        <v>0</v>
      </c>
    </row>
    <row r="220" spans="1:12" ht="25.5">
      <c r="A220" s="77" t="s">
        <v>1365</v>
      </c>
      <c r="B220" s="6" t="s">
        <v>185</v>
      </c>
      <c r="C220" s="6" t="s">
        <v>187</v>
      </c>
      <c r="D220" s="28" t="s">
        <v>20</v>
      </c>
      <c r="E220" s="114">
        <f>172.9+E218</f>
        <v>224.7</v>
      </c>
      <c r="F220" s="12"/>
      <c r="G220" s="12">
        <f t="shared" si="15"/>
        <v>0</v>
      </c>
    </row>
    <row r="221" spans="1:12" ht="25.5">
      <c r="A221" s="77" t="s">
        <v>1977</v>
      </c>
      <c r="B221" s="6" t="s">
        <v>188</v>
      </c>
      <c r="C221" s="6" t="s">
        <v>189</v>
      </c>
      <c r="D221" s="28" t="s">
        <v>93</v>
      </c>
      <c r="E221" s="114">
        <v>16</v>
      </c>
      <c r="F221" s="12"/>
      <c r="G221" s="12">
        <f t="shared" si="15"/>
        <v>0</v>
      </c>
    </row>
    <row r="222" spans="1:12" ht="19.5" customHeight="1">
      <c r="A222" s="37">
        <v>5</v>
      </c>
      <c r="B222" s="38" t="s">
        <v>213</v>
      </c>
      <c r="C222" s="38"/>
      <c r="D222" s="37"/>
      <c r="E222" s="123"/>
      <c r="F222" s="39"/>
      <c r="G222" s="39">
        <f>SUM(G223,G234,G247,G262)</f>
        <v>0</v>
      </c>
    </row>
    <row r="223" spans="1:12" ht="15.75" customHeight="1">
      <c r="A223" s="61" t="s">
        <v>214</v>
      </c>
      <c r="B223" s="138" t="s">
        <v>96</v>
      </c>
      <c r="C223" s="139"/>
      <c r="D223" s="61"/>
      <c r="E223" s="121"/>
      <c r="F223" s="65"/>
      <c r="G223" s="65">
        <f>SUM(G224:G233)</f>
        <v>0</v>
      </c>
    </row>
    <row r="224" spans="1:12" ht="25.5">
      <c r="A224" s="30" t="s">
        <v>1366</v>
      </c>
      <c r="B224" s="6" t="s">
        <v>100</v>
      </c>
      <c r="C224" s="6" t="s">
        <v>101</v>
      </c>
      <c r="D224" s="28" t="s">
        <v>102</v>
      </c>
      <c r="E224" s="114">
        <v>8</v>
      </c>
      <c r="F224" s="12"/>
      <c r="G224" s="12">
        <f>E224*F224</f>
        <v>0</v>
      </c>
    </row>
    <row r="225" spans="1:7">
      <c r="A225" s="30" t="s">
        <v>1367</v>
      </c>
      <c r="B225" s="6" t="s">
        <v>151</v>
      </c>
      <c r="C225" s="6" t="s">
        <v>152</v>
      </c>
      <c r="D225" s="28" t="s">
        <v>93</v>
      </c>
      <c r="E225" s="114">
        <f>1.2*6</f>
        <v>7.1999999999999993</v>
      </c>
      <c r="F225" s="12"/>
      <c r="G225" s="12">
        <f t="shared" ref="G225:G233" si="16">E225*F225</f>
        <v>0</v>
      </c>
    </row>
    <row r="226" spans="1:7">
      <c r="A226" s="30" t="s">
        <v>1368</v>
      </c>
      <c r="B226" s="6" t="s">
        <v>192</v>
      </c>
      <c r="C226" s="6" t="s">
        <v>193</v>
      </c>
      <c r="D226" s="28" t="s">
        <v>20</v>
      </c>
      <c r="E226" s="114">
        <v>194.7</v>
      </c>
      <c r="F226" s="12"/>
      <c r="G226" s="12">
        <f t="shared" si="16"/>
        <v>0</v>
      </c>
    </row>
    <row r="227" spans="1:7">
      <c r="A227" s="30" t="s">
        <v>1369</v>
      </c>
      <c r="B227" s="6" t="s">
        <v>194</v>
      </c>
      <c r="C227" s="6" t="s">
        <v>195</v>
      </c>
      <c r="D227" s="28" t="s">
        <v>20</v>
      </c>
      <c r="E227" s="114">
        <v>194.7</v>
      </c>
      <c r="F227" s="12"/>
      <c r="G227" s="12">
        <f t="shared" si="16"/>
        <v>0</v>
      </c>
    </row>
    <row r="228" spans="1:7">
      <c r="A228" s="30" t="s">
        <v>1370</v>
      </c>
      <c r="B228" s="6" t="s">
        <v>196</v>
      </c>
      <c r="C228" s="6" t="s">
        <v>197</v>
      </c>
      <c r="D228" s="28" t="s">
        <v>20</v>
      </c>
      <c r="E228" s="114">
        <v>194.7</v>
      </c>
      <c r="F228" s="12"/>
      <c r="G228" s="12">
        <f t="shared" si="16"/>
        <v>0</v>
      </c>
    </row>
    <row r="229" spans="1:7">
      <c r="A229" s="30" t="s">
        <v>1371</v>
      </c>
      <c r="B229" s="6" t="s">
        <v>198</v>
      </c>
      <c r="C229" s="6" t="s">
        <v>199</v>
      </c>
      <c r="D229" s="28" t="s">
        <v>93</v>
      </c>
      <c r="E229" s="114">
        <f>11*19</f>
        <v>209</v>
      </c>
      <c r="F229" s="12"/>
      <c r="G229" s="12">
        <f t="shared" si="16"/>
        <v>0</v>
      </c>
    </row>
    <row r="230" spans="1:7" ht="25.5">
      <c r="A230" s="30" t="s">
        <v>1372</v>
      </c>
      <c r="B230" s="6" t="s">
        <v>200</v>
      </c>
      <c r="C230" s="6" t="s">
        <v>201</v>
      </c>
      <c r="D230" s="28" t="s">
        <v>102</v>
      </c>
      <c r="E230" s="114">
        <v>2</v>
      </c>
      <c r="F230" s="12"/>
      <c r="G230" s="12">
        <f t="shared" si="16"/>
        <v>0</v>
      </c>
    </row>
    <row r="231" spans="1:7">
      <c r="A231" s="30" t="s">
        <v>1373</v>
      </c>
      <c r="B231" s="6" t="s">
        <v>98</v>
      </c>
      <c r="C231" s="6" t="s">
        <v>99</v>
      </c>
      <c r="D231" s="28" t="s">
        <v>7</v>
      </c>
      <c r="E231" s="114">
        <f>35.62+20.42</f>
        <v>56.04</v>
      </c>
      <c r="F231" s="12"/>
      <c r="G231" s="12">
        <f t="shared" si="16"/>
        <v>0</v>
      </c>
    </row>
    <row r="232" spans="1:7" ht="25.5">
      <c r="A232" s="30" t="s">
        <v>1374</v>
      </c>
      <c r="B232" s="6" t="s">
        <v>70</v>
      </c>
      <c r="C232" s="6" t="s">
        <v>71</v>
      </c>
      <c r="D232" s="28" t="s">
        <v>7</v>
      </c>
      <c r="E232" s="114">
        <f>8*0.08*2.1+6.896*0.08+7.2*0.04*0.4+194.7*0.25+209*0.2*0.2+56.04</f>
        <v>115.08588</v>
      </c>
      <c r="F232" s="12"/>
      <c r="G232" s="12">
        <f t="shared" si="16"/>
        <v>0</v>
      </c>
    </row>
    <row r="233" spans="1:7">
      <c r="A233" s="30" t="s">
        <v>1375</v>
      </c>
      <c r="B233" s="6" t="s">
        <v>72</v>
      </c>
      <c r="C233" s="6" t="s">
        <v>73</v>
      </c>
      <c r="D233" s="28" t="s">
        <v>7</v>
      </c>
      <c r="E233" s="114">
        <f>8*0.08*2.1+6.896*0.08+7.2*0.04*0.4+194.7*0.25+209*0.2*0.2+56.04</f>
        <v>115.08588</v>
      </c>
      <c r="F233" s="12"/>
      <c r="G233" s="12">
        <f t="shared" si="16"/>
        <v>0</v>
      </c>
    </row>
    <row r="234" spans="1:7" ht="19.5" customHeight="1">
      <c r="A234" s="61" t="s">
        <v>215</v>
      </c>
      <c r="B234" s="138" t="s">
        <v>205</v>
      </c>
      <c r="C234" s="139"/>
      <c r="D234" s="61"/>
      <c r="E234" s="121"/>
      <c r="F234" s="65"/>
      <c r="G234" s="65">
        <f>SUM(G235:G246)</f>
        <v>0</v>
      </c>
    </row>
    <row r="235" spans="1:7" ht="38.25">
      <c r="A235" s="30" t="s">
        <v>1376</v>
      </c>
      <c r="B235" s="6" t="s">
        <v>206</v>
      </c>
      <c r="C235" s="6" t="s">
        <v>207</v>
      </c>
      <c r="D235" s="28" t="s">
        <v>20</v>
      </c>
      <c r="E235" s="114">
        <v>178.1</v>
      </c>
      <c r="F235" s="12"/>
      <c r="G235" s="12">
        <f>E235*F235</f>
        <v>0</v>
      </c>
    </row>
    <row r="236" spans="1:7" ht="25.5">
      <c r="A236" s="30" t="s">
        <v>1377</v>
      </c>
      <c r="B236" s="6" t="s">
        <v>116</v>
      </c>
      <c r="C236" s="6" t="s">
        <v>208</v>
      </c>
      <c r="D236" s="28" t="s">
        <v>20</v>
      </c>
      <c r="E236" s="114">
        <f>178.1*1.1</f>
        <v>195.91</v>
      </c>
      <c r="F236" s="12"/>
      <c r="G236" s="12">
        <f t="shared" ref="G236:G246" si="17">E236*F236</f>
        <v>0</v>
      </c>
    </row>
    <row r="237" spans="1:7" ht="38.25">
      <c r="A237" s="30" t="s">
        <v>1378</v>
      </c>
      <c r="B237" s="6" t="s">
        <v>118</v>
      </c>
      <c r="C237" s="6" t="s">
        <v>119</v>
      </c>
      <c r="D237" s="28" t="s">
        <v>20</v>
      </c>
      <c r="E237" s="114">
        <v>178.1</v>
      </c>
      <c r="F237" s="12"/>
      <c r="G237" s="12">
        <f t="shared" si="17"/>
        <v>0</v>
      </c>
    </row>
    <row r="238" spans="1:7" ht="38.25">
      <c r="A238" s="30" t="s">
        <v>1379</v>
      </c>
      <c r="B238" s="6" t="s">
        <v>120</v>
      </c>
      <c r="C238" s="6" t="s">
        <v>209</v>
      </c>
      <c r="D238" s="28" t="s">
        <v>20</v>
      </c>
      <c r="E238" s="114">
        <v>178.1</v>
      </c>
      <c r="F238" s="12"/>
      <c r="G238" s="12">
        <f t="shared" si="17"/>
        <v>0</v>
      </c>
    </row>
    <row r="239" spans="1:7" ht="51">
      <c r="A239" s="30" t="s">
        <v>1381</v>
      </c>
      <c r="B239" s="6" t="s">
        <v>1009</v>
      </c>
      <c r="C239" s="6" t="s">
        <v>2065</v>
      </c>
      <c r="D239" s="28" t="s">
        <v>20</v>
      </c>
      <c r="E239" s="114">
        <v>65.7</v>
      </c>
      <c r="F239" s="12"/>
      <c r="G239" s="12">
        <f t="shared" si="17"/>
        <v>0</v>
      </c>
    </row>
    <row r="240" spans="1:7" ht="38.25">
      <c r="A240" s="30" t="s">
        <v>1382</v>
      </c>
      <c r="B240" s="6" t="s">
        <v>1009</v>
      </c>
      <c r="C240" s="6" t="s">
        <v>2066</v>
      </c>
      <c r="D240" s="28" t="s">
        <v>93</v>
      </c>
      <c r="E240" s="114">
        <f>18+12+9.1+7.9+21.8+8.9+7.9</f>
        <v>85.600000000000009</v>
      </c>
      <c r="F240" s="12"/>
      <c r="G240" s="12">
        <f t="shared" si="17"/>
        <v>0</v>
      </c>
    </row>
    <row r="241" spans="1:7" ht="38.25">
      <c r="A241" s="30" t="s">
        <v>1383</v>
      </c>
      <c r="B241" s="6" t="s">
        <v>154</v>
      </c>
      <c r="C241" s="6" t="s">
        <v>155</v>
      </c>
      <c r="D241" s="28" t="s">
        <v>20</v>
      </c>
      <c r="E241" s="114">
        <v>37.1</v>
      </c>
      <c r="F241" s="12"/>
      <c r="G241" s="12">
        <f t="shared" si="17"/>
        <v>0</v>
      </c>
    </row>
    <row r="242" spans="1:7" ht="25.5">
      <c r="A242" s="30" t="s">
        <v>1384</v>
      </c>
      <c r="B242" s="6" t="s">
        <v>156</v>
      </c>
      <c r="C242" s="6" t="s">
        <v>157</v>
      </c>
      <c r="D242" s="28" t="s">
        <v>20</v>
      </c>
      <c r="E242" s="114">
        <v>37.1</v>
      </c>
      <c r="F242" s="12"/>
      <c r="G242" s="12">
        <f t="shared" si="17"/>
        <v>0</v>
      </c>
    </row>
    <row r="243" spans="1:7">
      <c r="A243" s="30" t="s">
        <v>1385</v>
      </c>
      <c r="B243" s="6" t="s">
        <v>1009</v>
      </c>
      <c r="C243" s="6" t="s">
        <v>2070</v>
      </c>
      <c r="D243" s="28" t="s">
        <v>20</v>
      </c>
      <c r="E243" s="114">
        <v>37.1</v>
      </c>
      <c r="F243" s="12"/>
      <c r="G243" s="12">
        <f t="shared" si="17"/>
        <v>0</v>
      </c>
    </row>
    <row r="244" spans="1:7" ht="25.5">
      <c r="A244" s="30" t="s">
        <v>1386</v>
      </c>
      <c r="B244" s="6" t="s">
        <v>160</v>
      </c>
      <c r="C244" s="6" t="s">
        <v>2072</v>
      </c>
      <c r="D244" s="28" t="s">
        <v>93</v>
      </c>
      <c r="E244" s="114">
        <v>39.700000000000003</v>
      </c>
      <c r="F244" s="12"/>
      <c r="G244" s="12">
        <f t="shared" si="17"/>
        <v>0</v>
      </c>
    </row>
    <row r="245" spans="1:7" ht="25.5">
      <c r="A245" s="30" t="s">
        <v>1387</v>
      </c>
      <c r="B245" s="6" t="s">
        <v>1009</v>
      </c>
      <c r="C245" s="6" t="s">
        <v>2074</v>
      </c>
      <c r="D245" s="28" t="s">
        <v>20</v>
      </c>
      <c r="E245" s="114">
        <v>75.3</v>
      </c>
      <c r="F245" s="12"/>
      <c r="G245" s="12">
        <f t="shared" si="17"/>
        <v>0</v>
      </c>
    </row>
    <row r="246" spans="1:7" ht="25.5">
      <c r="A246" s="77" t="s">
        <v>1701</v>
      </c>
      <c r="B246" s="6" t="s">
        <v>160</v>
      </c>
      <c r="C246" s="6" t="s">
        <v>2075</v>
      </c>
      <c r="D246" s="77" t="s">
        <v>93</v>
      </c>
      <c r="E246" s="114">
        <v>82.8</v>
      </c>
      <c r="F246" s="12"/>
      <c r="G246" s="12">
        <f t="shared" si="17"/>
        <v>0</v>
      </c>
    </row>
    <row r="247" spans="1:7" ht="19.5" customHeight="1">
      <c r="A247" s="61" t="s">
        <v>216</v>
      </c>
      <c r="B247" s="138" t="s">
        <v>164</v>
      </c>
      <c r="C247" s="139"/>
      <c r="D247" s="61"/>
      <c r="E247" s="121"/>
      <c r="F247" s="65"/>
      <c r="G247" s="65">
        <f>SUM(G248:G261)</f>
        <v>0</v>
      </c>
    </row>
    <row r="248" spans="1:7" ht="25.5">
      <c r="A248" s="30" t="s">
        <v>1388</v>
      </c>
      <c r="B248" s="6" t="s">
        <v>126</v>
      </c>
      <c r="C248" s="6" t="s">
        <v>127</v>
      </c>
      <c r="D248" s="28" t="s">
        <v>20</v>
      </c>
      <c r="E248" s="114">
        <f>65.5*3.25-E249-E250</f>
        <v>94.724999999999994</v>
      </c>
      <c r="F248" s="12"/>
      <c r="G248" s="12">
        <f>E248*F248</f>
        <v>0</v>
      </c>
    </row>
    <row r="249" spans="1:7" ht="38.25">
      <c r="A249" s="77" t="s">
        <v>1389</v>
      </c>
      <c r="B249" s="6" t="s">
        <v>126</v>
      </c>
      <c r="C249" s="6" t="s">
        <v>2108</v>
      </c>
      <c r="D249" s="77" t="s">
        <v>20</v>
      </c>
      <c r="E249" s="114">
        <f>(2.03*2+1.91*2+2.59+1.94*2+2.09*2+1.84+3.05+1.63)*2.5</f>
        <v>62.624999999999993</v>
      </c>
      <c r="F249" s="12"/>
      <c r="G249" s="12">
        <f t="shared" ref="G249:G261" si="18">E249*F249</f>
        <v>0</v>
      </c>
    </row>
    <row r="250" spans="1:7" ht="25.5">
      <c r="A250" s="77" t="s">
        <v>1390</v>
      </c>
      <c r="B250" s="6" t="s">
        <v>126</v>
      </c>
      <c r="C250" s="6" t="s">
        <v>2095</v>
      </c>
      <c r="D250" s="77" t="s">
        <v>20</v>
      </c>
      <c r="E250" s="124">
        <f>(1.4+3.25*2+1.55+4.25+4.79+1.1+0.8+1.82)*2.5</f>
        <v>55.525000000000013</v>
      </c>
      <c r="F250" s="12"/>
      <c r="G250" s="12">
        <f t="shared" si="18"/>
        <v>0</v>
      </c>
    </row>
    <row r="251" spans="1:7" ht="25.5">
      <c r="A251" s="77" t="s">
        <v>1391</v>
      </c>
      <c r="B251" s="6" t="s">
        <v>167</v>
      </c>
      <c r="C251" s="6" t="s">
        <v>168</v>
      </c>
      <c r="D251" s="28" t="s">
        <v>93</v>
      </c>
      <c r="E251" s="114">
        <f>4+4+16</f>
        <v>24</v>
      </c>
      <c r="F251" s="12"/>
      <c r="G251" s="12">
        <f t="shared" si="18"/>
        <v>0</v>
      </c>
    </row>
    <row r="252" spans="1:7" ht="25.5">
      <c r="A252" s="77" t="s">
        <v>1392</v>
      </c>
      <c r="B252" s="6" t="s">
        <v>167</v>
      </c>
      <c r="C252" s="6" t="s">
        <v>169</v>
      </c>
      <c r="D252" s="28" t="s">
        <v>93</v>
      </c>
      <c r="E252" s="114">
        <f>4+4</f>
        <v>8</v>
      </c>
      <c r="F252" s="12"/>
      <c r="G252" s="12">
        <f t="shared" si="18"/>
        <v>0</v>
      </c>
    </row>
    <row r="253" spans="1:7" ht="25.5">
      <c r="A253" s="77" t="s">
        <v>1393</v>
      </c>
      <c r="B253" s="6" t="s">
        <v>167</v>
      </c>
      <c r="C253" s="6" t="s">
        <v>170</v>
      </c>
      <c r="D253" s="28" t="s">
        <v>93</v>
      </c>
      <c r="E253" s="114">
        <f>4+4</f>
        <v>8</v>
      </c>
      <c r="F253" s="12"/>
      <c r="G253" s="12">
        <f t="shared" si="18"/>
        <v>0</v>
      </c>
    </row>
    <row r="254" spans="1:7" ht="25.5">
      <c r="A254" s="77" t="s">
        <v>1394</v>
      </c>
      <c r="B254" s="6" t="s">
        <v>171</v>
      </c>
      <c r="C254" s="6" t="s">
        <v>172</v>
      </c>
      <c r="D254" s="28" t="s">
        <v>93</v>
      </c>
      <c r="E254" s="114">
        <v>4</v>
      </c>
      <c r="F254" s="12"/>
      <c r="G254" s="12">
        <f t="shared" si="18"/>
        <v>0</v>
      </c>
    </row>
    <row r="255" spans="1:7" ht="25.5">
      <c r="A255" s="77" t="s">
        <v>1395</v>
      </c>
      <c r="B255" s="6" t="s">
        <v>130</v>
      </c>
      <c r="C255" s="6" t="s">
        <v>131</v>
      </c>
      <c r="D255" s="28" t="s">
        <v>20</v>
      </c>
      <c r="E255" s="114">
        <f>54+23.75</f>
        <v>77.75</v>
      </c>
      <c r="F255" s="12"/>
      <c r="G255" s="12">
        <f t="shared" si="18"/>
        <v>0</v>
      </c>
    </row>
    <row r="256" spans="1:7">
      <c r="A256" s="77" t="s">
        <v>1396</v>
      </c>
      <c r="B256" s="6" t="s">
        <v>173</v>
      </c>
      <c r="C256" s="6" t="s">
        <v>211</v>
      </c>
      <c r="D256" s="28" t="s">
        <v>7</v>
      </c>
      <c r="E256" s="114">
        <f>77.75*0.02</f>
        <v>1.5549999999999999</v>
      </c>
      <c r="F256" s="12"/>
      <c r="G256" s="12">
        <f t="shared" si="18"/>
        <v>0</v>
      </c>
    </row>
    <row r="257" spans="1:7" ht="25.5">
      <c r="A257" s="77" t="s">
        <v>1397</v>
      </c>
      <c r="B257" s="6" t="s">
        <v>70</v>
      </c>
      <c r="C257" s="6" t="s">
        <v>71</v>
      </c>
      <c r="D257" s="28" t="s">
        <v>7</v>
      </c>
      <c r="E257" s="114">
        <f>77.75*0.02</f>
        <v>1.5549999999999999</v>
      </c>
      <c r="F257" s="12"/>
      <c r="G257" s="12">
        <f t="shared" si="18"/>
        <v>0</v>
      </c>
    </row>
    <row r="258" spans="1:7">
      <c r="A258" s="77" t="s">
        <v>1651</v>
      </c>
      <c r="B258" s="6" t="s">
        <v>72</v>
      </c>
      <c r="C258" s="6" t="s">
        <v>73</v>
      </c>
      <c r="D258" s="28" t="s">
        <v>7</v>
      </c>
      <c r="E258" s="114">
        <f>77.75*0.02</f>
        <v>1.5549999999999999</v>
      </c>
      <c r="F258" s="12"/>
      <c r="G258" s="12">
        <f t="shared" si="18"/>
        <v>0</v>
      </c>
    </row>
    <row r="259" spans="1:7" ht="25.5">
      <c r="A259" s="77" t="s">
        <v>2109</v>
      </c>
      <c r="B259" s="6" t="s">
        <v>1648</v>
      </c>
      <c r="C259" s="6" t="s">
        <v>1647</v>
      </c>
      <c r="D259" s="47" t="s">
        <v>20</v>
      </c>
      <c r="E259" s="119">
        <f>E251*1+E252*1.5+E253*2+E254*1</f>
        <v>56</v>
      </c>
      <c r="F259" s="12"/>
      <c r="G259" s="12">
        <f t="shared" si="18"/>
        <v>0</v>
      </c>
    </row>
    <row r="260" spans="1:7" ht="25.5">
      <c r="A260" s="77" t="s">
        <v>2110</v>
      </c>
      <c r="B260" s="6" t="s">
        <v>1009</v>
      </c>
      <c r="C260" s="6" t="s">
        <v>2112</v>
      </c>
      <c r="D260" s="77" t="s">
        <v>20</v>
      </c>
      <c r="E260" s="119">
        <f>18*0.16*4*2.5+12*0.16*4*0.64</f>
        <v>33.715199999999996</v>
      </c>
      <c r="F260" s="12"/>
      <c r="G260" s="12">
        <f t="shared" si="18"/>
        <v>0</v>
      </c>
    </row>
    <row r="261" spans="1:7" ht="25.5">
      <c r="A261" s="77" t="s">
        <v>2113</v>
      </c>
      <c r="B261" s="6" t="s">
        <v>175</v>
      </c>
      <c r="C261" s="6" t="s">
        <v>2146</v>
      </c>
      <c r="D261" s="28" t="s">
        <v>20</v>
      </c>
      <c r="E261" s="114">
        <f>77.75</f>
        <v>77.75</v>
      </c>
      <c r="F261" s="12"/>
      <c r="G261" s="12">
        <f t="shared" si="18"/>
        <v>0</v>
      </c>
    </row>
    <row r="262" spans="1:7" ht="20.25" customHeight="1">
      <c r="A262" s="61" t="s">
        <v>217</v>
      </c>
      <c r="B262" s="138" t="s">
        <v>218</v>
      </c>
      <c r="C262" s="139"/>
      <c r="D262" s="61"/>
      <c r="E262" s="121"/>
      <c r="F262" s="65"/>
      <c r="G262" s="65">
        <f>SUM(G263:G267)</f>
        <v>0</v>
      </c>
    </row>
    <row r="263" spans="1:7" ht="38.25">
      <c r="A263" s="30" t="s">
        <v>1398</v>
      </c>
      <c r="B263" s="6" t="s">
        <v>180</v>
      </c>
      <c r="C263" s="6" t="s">
        <v>181</v>
      </c>
      <c r="D263" s="28" t="s">
        <v>20</v>
      </c>
      <c r="E263" s="114">
        <f>(E248+E249+E250)*2+E259+E260+E265+E261</f>
        <v>713.21519999999998</v>
      </c>
      <c r="F263" s="12"/>
      <c r="G263" s="12">
        <f t="shared" ref="G263:G267" si="19">E263*F263</f>
        <v>0</v>
      </c>
    </row>
    <row r="264" spans="1:7" ht="25.5">
      <c r="A264" s="30" t="s">
        <v>1399</v>
      </c>
      <c r="B264" s="6" t="s">
        <v>182</v>
      </c>
      <c r="C264" s="6" t="s">
        <v>183</v>
      </c>
      <c r="D264" s="28" t="s">
        <v>20</v>
      </c>
      <c r="E264" s="114">
        <f>((1.91*2+2.03+1)*2.1+(3.41+1.8)*1.4+(1.94+2.6+0.5+2.6)*2.1+4.09*1.4+(1.85+1.19*2+0.84*2)*2.1+4.76*1.4+(2.09*2+1.87*2)*2.1)</f>
        <v>79.156000000000006</v>
      </c>
      <c r="F264" s="12"/>
      <c r="G264" s="12">
        <f t="shared" si="19"/>
        <v>0</v>
      </c>
    </row>
    <row r="265" spans="1:7" ht="38.25">
      <c r="A265" s="30" t="s">
        <v>1400</v>
      </c>
      <c r="B265" s="6" t="s">
        <v>220</v>
      </c>
      <c r="C265" s="6" t="s">
        <v>2111</v>
      </c>
      <c r="D265" s="30" t="s">
        <v>20</v>
      </c>
      <c r="E265" s="114">
        <v>120</v>
      </c>
      <c r="F265" s="12"/>
      <c r="G265" s="12">
        <f t="shared" si="19"/>
        <v>0</v>
      </c>
    </row>
    <row r="266" spans="1:7" ht="38.25">
      <c r="A266" s="30" t="s">
        <v>1401</v>
      </c>
      <c r="B266" s="6" t="s">
        <v>184</v>
      </c>
      <c r="C266" s="6" t="s">
        <v>2145</v>
      </c>
      <c r="D266" s="28" t="s">
        <v>20</v>
      </c>
      <c r="E266" s="114">
        <f>E264</f>
        <v>79.156000000000006</v>
      </c>
      <c r="F266" s="12"/>
      <c r="G266" s="12">
        <f t="shared" si="19"/>
        <v>0</v>
      </c>
    </row>
    <row r="267" spans="1:7" ht="38.25">
      <c r="A267" s="30" t="s">
        <v>1402</v>
      </c>
      <c r="B267" s="6" t="s">
        <v>185</v>
      </c>
      <c r="C267" s="6" t="s">
        <v>2141</v>
      </c>
      <c r="D267" s="28" t="s">
        <v>20</v>
      </c>
      <c r="E267" s="114">
        <f>E263-E264</f>
        <v>634.05919999999992</v>
      </c>
      <c r="F267" s="12"/>
      <c r="G267" s="12">
        <f t="shared" si="19"/>
        <v>0</v>
      </c>
    </row>
    <row r="268" spans="1:7" ht="19.5" customHeight="1">
      <c r="A268" s="37">
        <v>6</v>
      </c>
      <c r="B268" s="38" t="s">
        <v>1403</v>
      </c>
      <c r="C268" s="38"/>
      <c r="D268" s="37"/>
      <c r="E268" s="123"/>
      <c r="F268" s="39"/>
      <c r="G268" s="39">
        <f>SUM(G269:G301)</f>
        <v>0</v>
      </c>
    </row>
    <row r="269" spans="1:7" ht="25.5">
      <c r="A269" s="30" t="s">
        <v>221</v>
      </c>
      <c r="B269" s="6" t="s">
        <v>222</v>
      </c>
      <c r="C269" s="6" t="s">
        <v>223</v>
      </c>
      <c r="D269" s="28" t="s">
        <v>20</v>
      </c>
      <c r="E269" s="114">
        <f>2.4*19.39*2</f>
        <v>93.072000000000003</v>
      </c>
      <c r="F269" s="12"/>
      <c r="G269" s="12">
        <f>E269*F269</f>
        <v>0</v>
      </c>
    </row>
    <row r="270" spans="1:7">
      <c r="A270" s="30" t="s">
        <v>685</v>
      </c>
      <c r="B270" s="6" t="s">
        <v>224</v>
      </c>
      <c r="C270" s="6" t="s">
        <v>225</v>
      </c>
      <c r="D270" s="28" t="s">
        <v>20</v>
      </c>
      <c r="E270" s="114">
        <f>4.7*19.39*2+11.25*2.75</f>
        <v>213.20350000000002</v>
      </c>
      <c r="F270" s="12"/>
      <c r="G270" s="12">
        <f t="shared" ref="G270:G301" si="20">E270*F270</f>
        <v>0</v>
      </c>
    </row>
    <row r="271" spans="1:7">
      <c r="A271" s="30" t="s">
        <v>802</v>
      </c>
      <c r="B271" s="6" t="s">
        <v>226</v>
      </c>
      <c r="C271" s="6" t="s">
        <v>227</v>
      </c>
      <c r="D271" s="28" t="s">
        <v>93</v>
      </c>
      <c r="E271" s="114">
        <f>19.39*2+11.25</f>
        <v>50.03</v>
      </c>
      <c r="F271" s="12"/>
      <c r="G271" s="12">
        <f t="shared" si="20"/>
        <v>0</v>
      </c>
    </row>
    <row r="272" spans="1:7">
      <c r="A272" s="30" t="s">
        <v>982</v>
      </c>
      <c r="B272" s="6" t="s">
        <v>228</v>
      </c>
      <c r="C272" s="6" t="s">
        <v>229</v>
      </c>
      <c r="D272" s="28" t="s">
        <v>93</v>
      </c>
      <c r="E272" s="114">
        <f>9*4*4.5*2</f>
        <v>324</v>
      </c>
      <c r="F272" s="12"/>
      <c r="G272" s="12">
        <f t="shared" si="20"/>
        <v>0</v>
      </c>
    </row>
    <row r="273" spans="1:7">
      <c r="A273" s="30" t="s">
        <v>992</v>
      </c>
      <c r="B273" s="6" t="s">
        <v>230</v>
      </c>
      <c r="C273" s="6" t="s">
        <v>231</v>
      </c>
      <c r="D273" s="28" t="s">
        <v>20</v>
      </c>
      <c r="E273" s="114">
        <f>19.39*(0.5*2+0.3*2)+7.25*(0.25+0.5+0.5)+2.4*4*1+4.7*4*1</f>
        <v>68.486500000000007</v>
      </c>
      <c r="F273" s="12"/>
      <c r="G273" s="12">
        <f t="shared" si="20"/>
        <v>0</v>
      </c>
    </row>
    <row r="274" spans="1:7" ht="25.5">
      <c r="A274" s="30" t="s">
        <v>1487</v>
      </c>
      <c r="B274" s="6" t="s">
        <v>232</v>
      </c>
      <c r="C274" s="6" t="s">
        <v>233</v>
      </c>
      <c r="D274" s="28" t="s">
        <v>20</v>
      </c>
      <c r="E274" s="114">
        <f>4.7*19.39*2+11.25*2.75</f>
        <v>213.20350000000002</v>
      </c>
      <c r="F274" s="12"/>
      <c r="G274" s="12">
        <f t="shared" si="20"/>
        <v>0</v>
      </c>
    </row>
    <row r="275" spans="1:7">
      <c r="A275" s="30" t="s">
        <v>1488</v>
      </c>
      <c r="B275" s="6" t="s">
        <v>234</v>
      </c>
      <c r="C275" s="6" t="s">
        <v>235</v>
      </c>
      <c r="D275" s="28" t="s">
        <v>20</v>
      </c>
      <c r="E275" s="114">
        <f>2.4*19.39*2</f>
        <v>93.072000000000003</v>
      </c>
      <c r="F275" s="12"/>
      <c r="G275" s="12">
        <f t="shared" si="20"/>
        <v>0</v>
      </c>
    </row>
    <row r="276" spans="1:7">
      <c r="A276" s="30" t="s">
        <v>1489</v>
      </c>
      <c r="B276" s="6" t="s">
        <v>236</v>
      </c>
      <c r="C276" s="6" t="s">
        <v>237</v>
      </c>
      <c r="D276" s="28" t="s">
        <v>20</v>
      </c>
      <c r="E276" s="114">
        <f>2.4*19.39*2+4.7*19.39*2+11.25*2.75</f>
        <v>306.27550000000002</v>
      </c>
      <c r="F276" s="12"/>
      <c r="G276" s="12">
        <f t="shared" si="20"/>
        <v>0</v>
      </c>
    </row>
    <row r="277" spans="1:7" ht="25.5">
      <c r="A277" s="30" t="s">
        <v>1490</v>
      </c>
      <c r="B277" s="6" t="s">
        <v>70</v>
      </c>
      <c r="C277" s="6" t="s">
        <v>71</v>
      </c>
      <c r="D277" s="28" t="s">
        <v>7</v>
      </c>
      <c r="E277" s="114">
        <f>306.276*0.25</f>
        <v>76.569000000000003</v>
      </c>
      <c r="F277" s="12"/>
      <c r="G277" s="12">
        <f t="shared" si="20"/>
        <v>0</v>
      </c>
    </row>
    <row r="278" spans="1:7">
      <c r="A278" s="30" t="s">
        <v>1491</v>
      </c>
      <c r="B278" s="6" t="s">
        <v>72</v>
      </c>
      <c r="C278" s="6" t="s">
        <v>73</v>
      </c>
      <c r="D278" s="28" t="s">
        <v>7</v>
      </c>
      <c r="E278" s="114">
        <f>306.276*0.25</f>
        <v>76.569000000000003</v>
      </c>
      <c r="F278" s="12"/>
      <c r="G278" s="12">
        <f t="shared" si="20"/>
        <v>0</v>
      </c>
    </row>
    <row r="279" spans="1:7">
      <c r="A279" s="30" t="s">
        <v>1492</v>
      </c>
      <c r="B279" s="6" t="s">
        <v>238</v>
      </c>
      <c r="C279" s="6" t="s">
        <v>1582</v>
      </c>
      <c r="D279" s="28" t="s">
        <v>20</v>
      </c>
      <c r="E279" s="114">
        <f>2.4*19.39*2</f>
        <v>93.072000000000003</v>
      </c>
      <c r="F279" s="12"/>
      <c r="G279" s="12">
        <f t="shared" si="20"/>
        <v>0</v>
      </c>
    </row>
    <row r="280" spans="1:7" ht="25.5">
      <c r="A280" s="30" t="s">
        <v>1493</v>
      </c>
      <c r="B280" s="6" t="s">
        <v>239</v>
      </c>
      <c r="C280" s="6" t="s">
        <v>240</v>
      </c>
      <c r="D280" s="28" t="s">
        <v>20</v>
      </c>
      <c r="E280" s="114">
        <f>2.4*19.39*2</f>
        <v>93.072000000000003</v>
      </c>
      <c r="F280" s="12"/>
      <c r="G280" s="12">
        <f t="shared" si="20"/>
        <v>0</v>
      </c>
    </row>
    <row r="281" spans="1:7" ht="25.5">
      <c r="A281" s="30" t="s">
        <v>1494</v>
      </c>
      <c r="B281" s="6" t="s">
        <v>241</v>
      </c>
      <c r="C281" s="6" t="s">
        <v>2094</v>
      </c>
      <c r="D281" s="28" t="s">
        <v>20</v>
      </c>
      <c r="E281" s="114">
        <f>2.4*19.39*2</f>
        <v>93.072000000000003</v>
      </c>
      <c r="F281" s="12"/>
      <c r="G281" s="12">
        <f t="shared" si="20"/>
        <v>0</v>
      </c>
    </row>
    <row r="282" spans="1:7">
      <c r="A282" s="30" t="s">
        <v>1495</v>
      </c>
      <c r="B282" s="6" t="s">
        <v>242</v>
      </c>
      <c r="C282" s="6" t="s">
        <v>243</v>
      </c>
      <c r="D282" s="28" t="s">
        <v>20</v>
      </c>
      <c r="E282" s="114">
        <v>213.2</v>
      </c>
      <c r="F282" s="12"/>
      <c r="G282" s="12">
        <f t="shared" si="20"/>
        <v>0</v>
      </c>
    </row>
    <row r="283" spans="1:7" ht="25.5">
      <c r="A283" s="30" t="s">
        <v>1496</v>
      </c>
      <c r="B283" s="6" t="s">
        <v>244</v>
      </c>
      <c r="C283" s="6" t="s">
        <v>245</v>
      </c>
      <c r="D283" s="28" t="s">
        <v>20</v>
      </c>
      <c r="E283" s="114">
        <v>213.2</v>
      </c>
      <c r="F283" s="12"/>
      <c r="G283" s="12">
        <f t="shared" si="20"/>
        <v>0</v>
      </c>
    </row>
    <row r="284" spans="1:7" ht="25.5">
      <c r="A284" s="30" t="s">
        <v>1497</v>
      </c>
      <c r="B284" s="6" t="s">
        <v>246</v>
      </c>
      <c r="C284" s="6" t="s">
        <v>247</v>
      </c>
      <c r="D284" s="28" t="s">
        <v>20</v>
      </c>
      <c r="E284" s="114">
        <f>19.39*0.6+((16.2+6.6)*0.3)</f>
        <v>18.474</v>
      </c>
      <c r="F284" s="12"/>
      <c r="G284" s="12">
        <f t="shared" si="20"/>
        <v>0</v>
      </c>
    </row>
    <row r="285" spans="1:7">
      <c r="A285" s="77" t="s">
        <v>1498</v>
      </c>
      <c r="B285" s="6" t="s">
        <v>1009</v>
      </c>
      <c r="C285" s="6" t="s">
        <v>2135</v>
      </c>
      <c r="D285" s="77" t="s">
        <v>161</v>
      </c>
      <c r="E285" s="114">
        <v>6</v>
      </c>
      <c r="F285" s="12"/>
      <c r="G285" s="12">
        <f t="shared" si="20"/>
        <v>0</v>
      </c>
    </row>
    <row r="286" spans="1:7" ht="25.5">
      <c r="A286" s="77" t="s">
        <v>1499</v>
      </c>
      <c r="B286" s="6" t="s">
        <v>248</v>
      </c>
      <c r="C286" s="6" t="s">
        <v>249</v>
      </c>
      <c r="D286" s="28" t="s">
        <v>20</v>
      </c>
      <c r="E286" s="114">
        <f>19.39*(0.5*2+0.3*2)</f>
        <v>31.024000000000001</v>
      </c>
      <c r="F286" s="12"/>
      <c r="G286" s="12">
        <f t="shared" si="20"/>
        <v>0</v>
      </c>
    </row>
    <row r="287" spans="1:7" ht="25.5">
      <c r="A287" s="77" t="s">
        <v>1500</v>
      </c>
      <c r="B287" s="6" t="s">
        <v>248</v>
      </c>
      <c r="C287" s="6" t="s">
        <v>250</v>
      </c>
      <c r="D287" s="28" t="s">
        <v>20</v>
      </c>
      <c r="E287" s="114">
        <f>19.39*(1*2)</f>
        <v>38.78</v>
      </c>
      <c r="F287" s="12"/>
      <c r="G287" s="12">
        <f t="shared" si="20"/>
        <v>0</v>
      </c>
    </row>
    <row r="288" spans="1:7" ht="25.5">
      <c r="A288" s="77" t="s">
        <v>1501</v>
      </c>
      <c r="B288" s="6" t="s">
        <v>248</v>
      </c>
      <c r="C288" s="6" t="s">
        <v>251</v>
      </c>
      <c r="D288" s="28" t="s">
        <v>20</v>
      </c>
      <c r="E288" s="114">
        <f>(2.4+4.7)*2*0.5</f>
        <v>7.1</v>
      </c>
      <c r="F288" s="12"/>
      <c r="G288" s="12">
        <f t="shared" si="20"/>
        <v>0</v>
      </c>
    </row>
    <row r="289" spans="1:7" ht="25.5">
      <c r="A289" s="77" t="s">
        <v>1502</v>
      </c>
      <c r="B289" s="6" t="s">
        <v>248</v>
      </c>
      <c r="C289" s="6" t="s">
        <v>252</v>
      </c>
      <c r="D289" s="28" t="s">
        <v>20</v>
      </c>
      <c r="E289" s="114">
        <f>1.45*1+1.1*2*1</f>
        <v>3.6500000000000004</v>
      </c>
      <c r="F289" s="12"/>
      <c r="G289" s="12">
        <f t="shared" si="20"/>
        <v>0</v>
      </c>
    </row>
    <row r="290" spans="1:7" ht="25.5">
      <c r="A290" s="77" t="s">
        <v>1503</v>
      </c>
      <c r="B290" s="6" t="s">
        <v>248</v>
      </c>
      <c r="C290" s="6" t="s">
        <v>253</v>
      </c>
      <c r="D290" s="28" t="s">
        <v>20</v>
      </c>
      <c r="E290" s="114">
        <f>(16.2+6.6)*0.45</f>
        <v>10.26</v>
      </c>
      <c r="F290" s="12"/>
      <c r="G290" s="12">
        <f t="shared" si="20"/>
        <v>0</v>
      </c>
    </row>
    <row r="291" spans="1:7" ht="25.5">
      <c r="A291" s="77" t="s">
        <v>1504</v>
      </c>
      <c r="B291" s="6" t="s">
        <v>254</v>
      </c>
      <c r="C291" s="6" t="s">
        <v>255</v>
      </c>
      <c r="D291" s="28" t="s">
        <v>93</v>
      </c>
      <c r="E291" s="114">
        <f>19.39*2</f>
        <v>38.78</v>
      </c>
      <c r="F291" s="12"/>
      <c r="G291" s="12">
        <f t="shared" si="20"/>
        <v>0</v>
      </c>
    </row>
    <row r="292" spans="1:7" ht="25.5">
      <c r="A292" s="77" t="s">
        <v>1505</v>
      </c>
      <c r="B292" s="6" t="s">
        <v>1009</v>
      </c>
      <c r="C292" s="6" t="s">
        <v>2139</v>
      </c>
      <c r="D292" s="77" t="s">
        <v>93</v>
      </c>
      <c r="E292" s="114">
        <f>6*1.1</f>
        <v>6.6000000000000005</v>
      </c>
      <c r="F292" s="12"/>
      <c r="G292" s="12">
        <f t="shared" si="20"/>
        <v>0</v>
      </c>
    </row>
    <row r="293" spans="1:7" ht="25.5">
      <c r="A293" s="77" t="s">
        <v>1506</v>
      </c>
      <c r="B293" s="6" t="s">
        <v>256</v>
      </c>
      <c r="C293" s="6" t="s">
        <v>2137</v>
      </c>
      <c r="D293" s="28" t="s">
        <v>93</v>
      </c>
      <c r="E293" s="114">
        <f>9*4</f>
        <v>36</v>
      </c>
      <c r="F293" s="12"/>
      <c r="G293" s="12">
        <f t="shared" si="20"/>
        <v>0</v>
      </c>
    </row>
    <row r="294" spans="1:7" ht="25.5">
      <c r="A294" s="77" t="s">
        <v>1507</v>
      </c>
      <c r="B294" s="6" t="s">
        <v>79</v>
      </c>
      <c r="C294" s="6" t="s">
        <v>257</v>
      </c>
      <c r="D294" s="28" t="s">
        <v>20</v>
      </c>
      <c r="E294" s="114">
        <f>0.5+0.8+0.65+0.6+0.55</f>
        <v>3.1000000000000005</v>
      </c>
      <c r="F294" s="12"/>
      <c r="G294" s="12">
        <f t="shared" si="20"/>
        <v>0</v>
      </c>
    </row>
    <row r="295" spans="1:7" ht="25.5">
      <c r="A295" s="77" t="s">
        <v>1508</v>
      </c>
      <c r="B295" s="6" t="s">
        <v>28</v>
      </c>
      <c r="C295" s="6" t="s">
        <v>258</v>
      </c>
      <c r="D295" s="28" t="s">
        <v>27</v>
      </c>
      <c r="E295" s="114">
        <f>75/1000</f>
        <v>7.4999999999999997E-2</v>
      </c>
      <c r="F295" s="12"/>
      <c r="G295" s="12">
        <f t="shared" si="20"/>
        <v>0</v>
      </c>
    </row>
    <row r="296" spans="1:7" ht="25.5">
      <c r="A296" s="77" t="s">
        <v>1509</v>
      </c>
      <c r="B296" s="6" t="s">
        <v>259</v>
      </c>
      <c r="C296" s="6" t="s">
        <v>260</v>
      </c>
      <c r="D296" s="28" t="s">
        <v>20</v>
      </c>
      <c r="E296" s="114">
        <f>16.2*1.5</f>
        <v>24.299999999999997</v>
      </c>
      <c r="F296" s="12"/>
      <c r="G296" s="12">
        <f t="shared" si="20"/>
        <v>0</v>
      </c>
    </row>
    <row r="297" spans="1:7" ht="25.5">
      <c r="A297" s="77" t="s">
        <v>1510</v>
      </c>
      <c r="B297" s="6" t="s">
        <v>79</v>
      </c>
      <c r="C297" s="6" t="s">
        <v>261</v>
      </c>
      <c r="D297" s="28" t="s">
        <v>20</v>
      </c>
      <c r="E297" s="114">
        <f>(0.5+0.8+0.65+0.6+0.55)*1.1</f>
        <v>3.410000000000001</v>
      </c>
      <c r="F297" s="12"/>
      <c r="G297" s="12">
        <f t="shared" si="20"/>
        <v>0</v>
      </c>
    </row>
    <row r="298" spans="1:7" ht="25.5">
      <c r="A298" s="77" t="s">
        <v>1511</v>
      </c>
      <c r="B298" s="6" t="s">
        <v>28</v>
      </c>
      <c r="C298" s="6" t="s">
        <v>258</v>
      </c>
      <c r="D298" s="28" t="s">
        <v>27</v>
      </c>
      <c r="E298" s="114">
        <f>75/1000</f>
        <v>7.4999999999999997E-2</v>
      </c>
      <c r="F298" s="12"/>
      <c r="G298" s="12">
        <f t="shared" si="20"/>
        <v>0</v>
      </c>
    </row>
    <row r="299" spans="1:7">
      <c r="A299" s="77" t="s">
        <v>1512</v>
      </c>
      <c r="B299" s="6" t="s">
        <v>242</v>
      </c>
      <c r="C299" s="6" t="s">
        <v>262</v>
      </c>
      <c r="D299" s="28" t="s">
        <v>20</v>
      </c>
      <c r="E299" s="114">
        <f>6*1</f>
        <v>6</v>
      </c>
      <c r="F299" s="12"/>
      <c r="G299" s="12">
        <f t="shared" si="20"/>
        <v>0</v>
      </c>
    </row>
    <row r="300" spans="1:7">
      <c r="A300" s="77" t="s">
        <v>2136</v>
      </c>
      <c r="B300" s="6" t="s">
        <v>238</v>
      </c>
      <c r="C300" s="6" t="s">
        <v>263</v>
      </c>
      <c r="D300" s="28" t="s">
        <v>20</v>
      </c>
      <c r="E300" s="114">
        <f>6*1</f>
        <v>6</v>
      </c>
      <c r="F300" s="12"/>
      <c r="G300" s="12">
        <f t="shared" si="20"/>
        <v>0</v>
      </c>
    </row>
    <row r="301" spans="1:7" ht="25.5">
      <c r="A301" s="77" t="s">
        <v>2138</v>
      </c>
      <c r="B301" s="6" t="s">
        <v>264</v>
      </c>
      <c r="C301" s="6" t="s">
        <v>265</v>
      </c>
      <c r="D301" s="28" t="s">
        <v>20</v>
      </c>
      <c r="E301" s="114">
        <f>6*1</f>
        <v>6</v>
      </c>
      <c r="F301" s="12"/>
      <c r="G301" s="12">
        <f t="shared" si="20"/>
        <v>0</v>
      </c>
    </row>
    <row r="302" spans="1:7" ht="21.75" customHeight="1">
      <c r="A302" s="37">
        <v>7</v>
      </c>
      <c r="B302" s="155" t="s">
        <v>266</v>
      </c>
      <c r="C302" s="155"/>
      <c r="D302" s="37"/>
      <c r="E302" s="123"/>
      <c r="F302" s="39"/>
      <c r="G302" s="39">
        <f>SUM(G303:G315)</f>
        <v>0</v>
      </c>
    </row>
    <row r="303" spans="1:7" ht="25.5">
      <c r="A303" s="30" t="s">
        <v>810</v>
      </c>
      <c r="B303" s="6" t="s">
        <v>50</v>
      </c>
      <c r="C303" s="6" t="s">
        <v>2077</v>
      </c>
      <c r="D303" s="28" t="s">
        <v>7</v>
      </c>
      <c r="E303" s="114">
        <f>3.76*1.14*0.25</f>
        <v>1.0715999999999999</v>
      </c>
      <c r="F303" s="12"/>
      <c r="G303" s="12">
        <f>E303*F303</f>
        <v>0</v>
      </c>
    </row>
    <row r="304" spans="1:7" ht="25.5">
      <c r="A304" s="77" t="s">
        <v>818</v>
      </c>
      <c r="B304" s="6" t="s">
        <v>28</v>
      </c>
      <c r="C304" s="6" t="s">
        <v>258</v>
      </c>
      <c r="D304" s="28" t="s">
        <v>27</v>
      </c>
      <c r="E304" s="114">
        <f>260/1000</f>
        <v>0.26</v>
      </c>
      <c r="F304" s="12"/>
      <c r="G304" s="12">
        <f t="shared" ref="G304:G315" si="21">E304*F304</f>
        <v>0</v>
      </c>
    </row>
    <row r="305" spans="1:11" ht="38.25">
      <c r="A305" s="77" t="s">
        <v>1409</v>
      </c>
      <c r="B305" s="6" t="s">
        <v>1009</v>
      </c>
      <c r="C305" s="6" t="s">
        <v>2078</v>
      </c>
      <c r="D305" s="28" t="s">
        <v>20</v>
      </c>
      <c r="E305" s="114">
        <f>10*0.25*1.14+1.26*1.14+2.63*1.6+7*0.3*2.63+1.4</f>
        <v>15.417399999999999</v>
      </c>
      <c r="F305" s="12"/>
      <c r="G305" s="12">
        <f t="shared" si="21"/>
        <v>0</v>
      </c>
    </row>
    <row r="306" spans="1:11" ht="38.25">
      <c r="A306" s="77" t="s">
        <v>1410</v>
      </c>
      <c r="B306" s="6" t="s">
        <v>1009</v>
      </c>
      <c r="C306" s="6" t="s">
        <v>2080</v>
      </c>
      <c r="D306" s="77" t="s">
        <v>20</v>
      </c>
      <c r="E306" s="114">
        <f>10*0.25*1.14+1.14*1.5</f>
        <v>4.5599999999999996</v>
      </c>
      <c r="F306" s="12"/>
      <c r="G306" s="12">
        <f t="shared" si="21"/>
        <v>0</v>
      </c>
    </row>
    <row r="307" spans="1:11" ht="25.5">
      <c r="A307" s="77" t="s">
        <v>1411</v>
      </c>
      <c r="B307" s="6" t="s">
        <v>1009</v>
      </c>
      <c r="C307" s="6" t="s">
        <v>2079</v>
      </c>
      <c r="D307" s="77" t="s">
        <v>20</v>
      </c>
      <c r="E307" s="114">
        <f>1.26*1.8+2.5*1.8/2+10*0.18*1.14</f>
        <v>6.57</v>
      </c>
      <c r="F307" s="12"/>
      <c r="G307" s="12">
        <f t="shared" si="21"/>
        <v>0</v>
      </c>
    </row>
    <row r="308" spans="1:11" ht="38.25">
      <c r="A308" s="77" t="s">
        <v>1412</v>
      </c>
      <c r="B308" s="6" t="s">
        <v>1009</v>
      </c>
      <c r="C308" s="6" t="s">
        <v>2081</v>
      </c>
      <c r="D308" s="77" t="s">
        <v>20</v>
      </c>
      <c r="E308" s="114">
        <v>1.4</v>
      </c>
      <c r="F308" s="12"/>
      <c r="G308" s="12">
        <f t="shared" si="21"/>
        <v>0</v>
      </c>
    </row>
    <row r="309" spans="1:11" ht="51">
      <c r="A309" s="77" t="s">
        <v>1413</v>
      </c>
      <c r="B309" s="6" t="s">
        <v>267</v>
      </c>
      <c r="C309" s="6" t="s">
        <v>2082</v>
      </c>
      <c r="D309" s="28" t="s">
        <v>20</v>
      </c>
      <c r="E309" s="114">
        <f>2.63*1.6+7*(0.3+0.15)*2.63</f>
        <v>12.492499999999998</v>
      </c>
      <c r="F309" s="12"/>
      <c r="G309" s="12">
        <f t="shared" si="21"/>
        <v>0</v>
      </c>
    </row>
    <row r="310" spans="1:11" ht="25.5">
      <c r="A310" s="77" t="s">
        <v>1414</v>
      </c>
      <c r="B310" s="6" t="s">
        <v>188</v>
      </c>
      <c r="C310" s="6" t="s">
        <v>1973</v>
      </c>
      <c r="D310" s="28" t="s">
        <v>93</v>
      </c>
      <c r="E310" s="114">
        <f>3.7*2</f>
        <v>7.4</v>
      </c>
      <c r="F310" s="12"/>
      <c r="G310" s="12">
        <f t="shared" si="21"/>
        <v>0</v>
      </c>
    </row>
    <row r="311" spans="1:11">
      <c r="A311" s="77" t="s">
        <v>1415</v>
      </c>
      <c r="B311" s="6" t="s">
        <v>72</v>
      </c>
      <c r="C311" s="6" t="s">
        <v>1942</v>
      </c>
      <c r="D311" s="28" t="s">
        <v>162</v>
      </c>
      <c r="E311" s="114">
        <v>1</v>
      </c>
      <c r="F311" s="12"/>
      <c r="G311" s="12">
        <f t="shared" si="21"/>
        <v>0</v>
      </c>
    </row>
    <row r="312" spans="1:11">
      <c r="A312" s="77" t="s">
        <v>1416</v>
      </c>
      <c r="B312" s="6" t="s">
        <v>72</v>
      </c>
      <c r="C312" s="6" t="s">
        <v>268</v>
      </c>
      <c r="D312" s="28" t="s">
        <v>162</v>
      </c>
      <c r="E312" s="114">
        <v>4</v>
      </c>
      <c r="F312" s="12"/>
      <c r="G312" s="12">
        <f t="shared" si="21"/>
        <v>0</v>
      </c>
    </row>
    <row r="313" spans="1:11" ht="25.5">
      <c r="A313" s="77" t="s">
        <v>1417</v>
      </c>
      <c r="B313" s="6" t="s">
        <v>72</v>
      </c>
      <c r="C313" s="6" t="s">
        <v>269</v>
      </c>
      <c r="D313" s="28" t="s">
        <v>162</v>
      </c>
      <c r="E313" s="114">
        <v>1</v>
      </c>
      <c r="F313" s="12"/>
      <c r="G313" s="12">
        <f t="shared" si="21"/>
        <v>0</v>
      </c>
    </row>
    <row r="314" spans="1:11" ht="25.5">
      <c r="A314" s="77" t="s">
        <v>1418</v>
      </c>
      <c r="B314" s="6" t="s">
        <v>72</v>
      </c>
      <c r="C314" s="6" t="s">
        <v>2083</v>
      </c>
      <c r="D314" s="77" t="s">
        <v>162</v>
      </c>
      <c r="E314" s="114">
        <v>3</v>
      </c>
      <c r="F314" s="12"/>
      <c r="G314" s="12">
        <f t="shared" si="21"/>
        <v>0</v>
      </c>
    </row>
    <row r="315" spans="1:11" ht="25.5">
      <c r="A315" s="77" t="s">
        <v>2132</v>
      </c>
      <c r="B315" s="6" t="s">
        <v>1009</v>
      </c>
      <c r="C315" s="6" t="s">
        <v>2131</v>
      </c>
      <c r="D315" s="77" t="s">
        <v>20</v>
      </c>
      <c r="E315" s="114">
        <f>(Termomodernizacja!E17+Termomodernizacja!E38)*30%</f>
        <v>120.05999999999999</v>
      </c>
      <c r="F315" s="12"/>
      <c r="G315" s="12">
        <f t="shared" si="21"/>
        <v>0</v>
      </c>
    </row>
    <row r="316" spans="1:11" ht="29.25" customHeight="1">
      <c r="A316" s="37">
        <v>8</v>
      </c>
      <c r="B316" s="155" t="s">
        <v>2087</v>
      </c>
      <c r="C316" s="155"/>
      <c r="D316" s="37"/>
      <c r="E316" s="123"/>
      <c r="F316" s="39"/>
      <c r="G316" s="39">
        <f>SUM(G317:G336)</f>
        <v>0</v>
      </c>
    </row>
    <row r="317" spans="1:11" ht="40.5" customHeight="1">
      <c r="A317" s="34" t="s">
        <v>820</v>
      </c>
      <c r="B317" s="33" t="s">
        <v>109</v>
      </c>
      <c r="C317" s="33" t="s">
        <v>110</v>
      </c>
      <c r="D317" s="34" t="s">
        <v>93</v>
      </c>
      <c r="E317" s="125">
        <f>19.36*2+11.54*2</f>
        <v>61.8</v>
      </c>
      <c r="F317" s="113"/>
      <c r="G317" s="12">
        <f>E317*F317</f>
        <v>0</v>
      </c>
      <c r="I317" s="112"/>
      <c r="J317" s="112"/>
      <c r="K317" s="51"/>
    </row>
    <row r="318" spans="1:11" ht="38.25">
      <c r="A318" s="77" t="s">
        <v>830</v>
      </c>
      <c r="B318" s="6" t="s">
        <v>270</v>
      </c>
      <c r="C318" s="6" t="s">
        <v>271</v>
      </c>
      <c r="D318" s="28" t="s">
        <v>20</v>
      </c>
      <c r="E318" s="114">
        <f>20*1.5</f>
        <v>30</v>
      </c>
      <c r="F318" s="12"/>
      <c r="G318" s="12">
        <f>E318*F318</f>
        <v>0</v>
      </c>
    </row>
    <row r="319" spans="1:11" ht="25.5">
      <c r="A319" s="34" t="s">
        <v>836</v>
      </c>
      <c r="B319" s="6" t="s">
        <v>272</v>
      </c>
      <c r="C319" s="6" t="s">
        <v>273</v>
      </c>
      <c r="D319" s="28" t="s">
        <v>20</v>
      </c>
      <c r="E319" s="114">
        <f>20*1.5</f>
        <v>30</v>
      </c>
      <c r="F319" s="12"/>
      <c r="G319" s="12">
        <f t="shared" ref="G319:G336" si="22">E319*F319</f>
        <v>0</v>
      </c>
    </row>
    <row r="320" spans="1:11" ht="25.5">
      <c r="A320" s="77" t="s">
        <v>861</v>
      </c>
      <c r="B320" s="6" t="s">
        <v>274</v>
      </c>
      <c r="C320" s="6" t="s">
        <v>275</v>
      </c>
      <c r="D320" s="28" t="s">
        <v>20</v>
      </c>
      <c r="E320" s="114">
        <f>20*1.5</f>
        <v>30</v>
      </c>
      <c r="F320" s="12"/>
      <c r="G320" s="12">
        <f t="shared" si="22"/>
        <v>0</v>
      </c>
    </row>
    <row r="321" spans="1:13" ht="25.5">
      <c r="A321" s="34" t="s">
        <v>1419</v>
      </c>
      <c r="B321" s="6" t="s">
        <v>70</v>
      </c>
      <c r="C321" s="6" t="s">
        <v>71</v>
      </c>
      <c r="D321" s="28" t="s">
        <v>7</v>
      </c>
      <c r="E321" s="114">
        <f>30*0.25</f>
        <v>7.5</v>
      </c>
      <c r="F321" s="12"/>
      <c r="G321" s="12">
        <f t="shared" si="22"/>
        <v>0</v>
      </c>
      <c r="K321" s="31"/>
      <c r="L321" s="31"/>
      <c r="M321" s="31"/>
    </row>
    <row r="322" spans="1:13">
      <c r="A322" s="77" t="s">
        <v>1420</v>
      </c>
      <c r="B322" s="6" t="s">
        <v>72</v>
      </c>
      <c r="C322" s="6" t="s">
        <v>276</v>
      </c>
      <c r="D322" s="28" t="s">
        <v>7</v>
      </c>
      <c r="E322" s="114">
        <f>30*0.25</f>
        <v>7.5</v>
      </c>
      <c r="F322" s="12"/>
      <c r="G322" s="12">
        <f t="shared" si="22"/>
        <v>0</v>
      </c>
      <c r="K322" s="31"/>
      <c r="L322" s="31"/>
      <c r="M322" s="31"/>
    </row>
    <row r="323" spans="1:13">
      <c r="A323" s="34" t="s">
        <v>1421</v>
      </c>
      <c r="B323" s="6" t="s">
        <v>1009</v>
      </c>
      <c r="C323" s="6" t="s">
        <v>2084</v>
      </c>
      <c r="D323" s="77" t="s">
        <v>20</v>
      </c>
      <c r="E323" s="114">
        <f>(11.54*2+19.36)*1</f>
        <v>42.44</v>
      </c>
      <c r="F323" s="12"/>
      <c r="G323" s="12"/>
      <c r="K323" s="31"/>
      <c r="L323" s="31"/>
      <c r="M323" s="31"/>
    </row>
    <row r="324" spans="1:13" ht="25.5">
      <c r="A324" s="77" t="s">
        <v>1422</v>
      </c>
      <c r="B324" s="6" t="s">
        <v>1009</v>
      </c>
      <c r="C324" s="6" t="s">
        <v>2086</v>
      </c>
      <c r="D324" s="28" t="s">
        <v>7</v>
      </c>
      <c r="E324" s="114">
        <f>(19.36*2+11.54*2)*3*1.5</f>
        <v>278.09999999999997</v>
      </c>
      <c r="F324" s="12"/>
      <c r="G324" s="12">
        <f t="shared" si="22"/>
        <v>0</v>
      </c>
      <c r="K324" s="31"/>
      <c r="L324" s="31"/>
      <c r="M324" s="51"/>
    </row>
    <row r="325" spans="1:13">
      <c r="A325" s="77" t="s">
        <v>1423</v>
      </c>
      <c r="B325" s="6" t="s">
        <v>1009</v>
      </c>
      <c r="C325" s="6" t="s">
        <v>2134</v>
      </c>
      <c r="D325" s="77" t="s">
        <v>20</v>
      </c>
      <c r="E325" s="114">
        <f>(19.36*2+11.54*2)*3</f>
        <v>185.39999999999998</v>
      </c>
      <c r="F325" s="12"/>
      <c r="G325" s="12">
        <f t="shared" si="22"/>
        <v>0</v>
      </c>
      <c r="K325" s="31"/>
      <c r="L325" s="31"/>
      <c r="M325" s="51"/>
    </row>
    <row r="326" spans="1:13" ht="51">
      <c r="A326" s="77" t="s">
        <v>1424</v>
      </c>
      <c r="B326" s="6" t="s">
        <v>1009</v>
      </c>
      <c r="C326" s="6" t="s">
        <v>2088</v>
      </c>
      <c r="D326" s="28" t="s">
        <v>20</v>
      </c>
      <c r="E326" s="114">
        <f>(19.36*2 + 11.54*2)*3</f>
        <v>185.39999999999998</v>
      </c>
      <c r="F326" s="12"/>
      <c r="G326" s="12">
        <f t="shared" si="22"/>
        <v>0</v>
      </c>
      <c r="K326" s="31"/>
      <c r="L326" s="31"/>
      <c r="M326" s="31"/>
    </row>
    <row r="327" spans="1:13" ht="38.25">
      <c r="A327" s="77" t="s">
        <v>1425</v>
      </c>
      <c r="B327" s="6" t="s">
        <v>1009</v>
      </c>
      <c r="C327" s="6" t="s">
        <v>2089</v>
      </c>
      <c r="D327" s="28" t="s">
        <v>20</v>
      </c>
      <c r="E327" s="114">
        <f>E326</f>
        <v>185.39999999999998</v>
      </c>
      <c r="F327" s="12"/>
      <c r="G327" s="12">
        <f t="shared" si="22"/>
        <v>0</v>
      </c>
    </row>
    <row r="328" spans="1:13" ht="25.5">
      <c r="A328" s="77" t="s">
        <v>2026</v>
      </c>
      <c r="B328" s="6" t="s">
        <v>280</v>
      </c>
      <c r="C328" s="6" t="s">
        <v>281</v>
      </c>
      <c r="D328" s="28" t="s">
        <v>93</v>
      </c>
      <c r="E328" s="114">
        <f>19.54*2+11.54*2</f>
        <v>62.16</v>
      </c>
      <c r="F328" s="12"/>
      <c r="G328" s="12">
        <f t="shared" si="22"/>
        <v>0</v>
      </c>
    </row>
    <row r="329" spans="1:13" ht="25.5">
      <c r="A329" s="77" t="s">
        <v>1426</v>
      </c>
      <c r="B329" s="6" t="s">
        <v>282</v>
      </c>
      <c r="C329" s="6" t="s">
        <v>283</v>
      </c>
      <c r="D329" s="28" t="s">
        <v>20</v>
      </c>
      <c r="E329" s="114">
        <f>E326</f>
        <v>185.39999999999998</v>
      </c>
      <c r="F329" s="12"/>
      <c r="G329" s="12">
        <f t="shared" si="22"/>
        <v>0</v>
      </c>
    </row>
    <row r="330" spans="1:13" ht="25.5">
      <c r="A330" s="77" t="s">
        <v>1427</v>
      </c>
      <c r="B330" s="6" t="s">
        <v>284</v>
      </c>
      <c r="C330" s="6" t="s">
        <v>285</v>
      </c>
      <c r="D330" s="28" t="s">
        <v>7</v>
      </c>
      <c r="E330" s="114">
        <f>E324</f>
        <v>278.09999999999997</v>
      </c>
      <c r="F330" s="12"/>
      <c r="G330" s="12">
        <f t="shared" si="22"/>
        <v>0</v>
      </c>
    </row>
    <row r="331" spans="1:13" ht="25.5">
      <c r="A331" s="77" t="s">
        <v>1428</v>
      </c>
      <c r="B331" s="6" t="s">
        <v>146</v>
      </c>
      <c r="C331" s="6" t="s">
        <v>286</v>
      </c>
      <c r="D331" s="28" t="s">
        <v>7</v>
      </c>
      <c r="E331" s="114">
        <f>E330</f>
        <v>278.09999999999997</v>
      </c>
      <c r="F331" s="12"/>
      <c r="G331" s="12">
        <f t="shared" si="22"/>
        <v>0</v>
      </c>
    </row>
    <row r="332" spans="1:13" ht="25.5">
      <c r="A332" s="77" t="s">
        <v>1429</v>
      </c>
      <c r="B332" s="6" t="s">
        <v>287</v>
      </c>
      <c r="C332" s="6" t="s">
        <v>288</v>
      </c>
      <c r="D332" s="28" t="s">
        <v>20</v>
      </c>
      <c r="E332" s="114">
        <f>20*1.5+E336</f>
        <v>51.31</v>
      </c>
      <c r="F332" s="12"/>
      <c r="G332" s="12">
        <f t="shared" si="22"/>
        <v>0</v>
      </c>
    </row>
    <row r="333" spans="1:13" ht="25.5">
      <c r="A333" s="77" t="s">
        <v>1430</v>
      </c>
      <c r="B333" s="6" t="s">
        <v>289</v>
      </c>
      <c r="C333" s="6" t="s">
        <v>290</v>
      </c>
      <c r="D333" s="28" t="s">
        <v>20</v>
      </c>
      <c r="E333" s="114">
        <f>E332</f>
        <v>51.31</v>
      </c>
      <c r="F333" s="12"/>
      <c r="G333" s="12">
        <f t="shared" si="22"/>
        <v>0</v>
      </c>
    </row>
    <row r="334" spans="1:13" ht="25.5">
      <c r="A334" s="77" t="s">
        <v>1431</v>
      </c>
      <c r="B334" s="6" t="s">
        <v>291</v>
      </c>
      <c r="C334" s="6" t="s">
        <v>292</v>
      </c>
      <c r="D334" s="28" t="s">
        <v>20</v>
      </c>
      <c r="E334" s="114">
        <f>E333</f>
        <v>51.31</v>
      </c>
      <c r="F334" s="12"/>
      <c r="G334" s="12">
        <f t="shared" si="22"/>
        <v>0</v>
      </c>
    </row>
    <row r="335" spans="1:13" ht="25.5">
      <c r="A335" s="77" t="s">
        <v>1432</v>
      </c>
      <c r="B335" s="6" t="s">
        <v>293</v>
      </c>
      <c r="C335" s="6" t="s">
        <v>2090</v>
      </c>
      <c r="D335" s="28" t="s">
        <v>20</v>
      </c>
      <c r="E335" s="114">
        <f>20*1.5</f>
        <v>30</v>
      </c>
      <c r="F335" s="12"/>
      <c r="G335" s="12">
        <f t="shared" si="22"/>
        <v>0</v>
      </c>
    </row>
    <row r="336" spans="1:13" ht="25.5">
      <c r="A336" s="77" t="s">
        <v>1433</v>
      </c>
      <c r="B336" s="6" t="s">
        <v>293</v>
      </c>
      <c r="C336" s="110" t="s">
        <v>2091</v>
      </c>
      <c r="D336" s="77" t="s">
        <v>20</v>
      </c>
      <c r="E336" s="114">
        <f>(19.54+11.54*2)*0.5</f>
        <v>21.31</v>
      </c>
      <c r="F336" s="12"/>
      <c r="G336" s="12">
        <f t="shared" si="22"/>
        <v>0</v>
      </c>
    </row>
    <row r="337" spans="1:7" ht="24.75" customHeight="1">
      <c r="A337" s="37">
        <v>9</v>
      </c>
      <c r="B337" s="148" t="s">
        <v>317</v>
      </c>
      <c r="C337" s="149"/>
      <c r="D337" s="37"/>
      <c r="E337" s="123"/>
      <c r="F337" s="39"/>
      <c r="G337" s="39">
        <f>SUM(G338:G349)</f>
        <v>0</v>
      </c>
    </row>
    <row r="338" spans="1:7" ht="25.5">
      <c r="A338" s="30" t="s">
        <v>1437</v>
      </c>
      <c r="B338" s="6" t="s">
        <v>72</v>
      </c>
      <c r="C338" s="6" t="s">
        <v>295</v>
      </c>
      <c r="D338" s="30" t="s">
        <v>162</v>
      </c>
      <c r="E338" s="114">
        <v>1</v>
      </c>
      <c r="F338" s="12"/>
      <c r="G338" s="12">
        <f>E338*F338</f>
        <v>0</v>
      </c>
    </row>
    <row r="339" spans="1:7">
      <c r="A339" s="30" t="s">
        <v>1438</v>
      </c>
      <c r="B339" s="6" t="s">
        <v>278</v>
      </c>
      <c r="C339" s="6" t="s">
        <v>318</v>
      </c>
      <c r="D339" s="30" t="s">
        <v>20</v>
      </c>
      <c r="E339" s="114">
        <v>166</v>
      </c>
      <c r="F339" s="12"/>
      <c r="G339" s="12">
        <f t="shared" ref="G339:G348" si="23">E339*F339</f>
        <v>0</v>
      </c>
    </row>
    <row r="340" spans="1:7" ht="25.5">
      <c r="A340" s="30" t="s">
        <v>1439</v>
      </c>
      <c r="B340" s="6" t="s">
        <v>70</v>
      </c>
      <c r="C340" s="6" t="s">
        <v>71</v>
      </c>
      <c r="D340" s="30" t="s">
        <v>7</v>
      </c>
      <c r="E340" s="114">
        <f>166*0.02</f>
        <v>3.3200000000000003</v>
      </c>
      <c r="F340" s="12"/>
      <c r="G340" s="12">
        <f t="shared" si="23"/>
        <v>0</v>
      </c>
    </row>
    <row r="341" spans="1:7">
      <c r="A341" s="30" t="s">
        <v>1440</v>
      </c>
      <c r="B341" s="6" t="s">
        <v>72</v>
      </c>
      <c r="C341" s="6" t="s">
        <v>73</v>
      </c>
      <c r="D341" s="30" t="s">
        <v>7</v>
      </c>
      <c r="E341" s="114">
        <f>166*0.02</f>
        <v>3.3200000000000003</v>
      </c>
      <c r="F341" s="12"/>
      <c r="G341" s="12">
        <f t="shared" si="23"/>
        <v>0</v>
      </c>
    </row>
    <row r="342" spans="1:7">
      <c r="A342" s="30" t="s">
        <v>1441</v>
      </c>
      <c r="B342" s="6" t="s">
        <v>133</v>
      </c>
      <c r="C342" s="6" t="s">
        <v>134</v>
      </c>
      <c r="D342" s="30" t="s">
        <v>20</v>
      </c>
      <c r="E342" s="114">
        <v>166</v>
      </c>
      <c r="F342" s="12"/>
      <c r="G342" s="12">
        <f t="shared" si="23"/>
        <v>0</v>
      </c>
    </row>
    <row r="343" spans="1:7" ht="51">
      <c r="A343" s="30" t="s">
        <v>1442</v>
      </c>
      <c r="B343" s="6" t="s">
        <v>319</v>
      </c>
      <c r="C343" s="6" t="s">
        <v>320</v>
      </c>
      <c r="D343" s="30" t="s">
        <v>20</v>
      </c>
      <c r="E343" s="114">
        <v>166</v>
      </c>
      <c r="F343" s="12"/>
      <c r="G343" s="12">
        <f t="shared" si="23"/>
        <v>0</v>
      </c>
    </row>
    <row r="344" spans="1:7" ht="38.25">
      <c r="A344" s="30" t="s">
        <v>1443</v>
      </c>
      <c r="B344" s="6" t="s">
        <v>321</v>
      </c>
      <c r="C344" s="6" t="s">
        <v>322</v>
      </c>
      <c r="D344" s="30" t="s">
        <v>20</v>
      </c>
      <c r="E344" s="114">
        <v>166</v>
      </c>
      <c r="F344" s="12"/>
      <c r="G344" s="12">
        <f t="shared" si="23"/>
        <v>0</v>
      </c>
    </row>
    <row r="345" spans="1:7">
      <c r="A345" s="30" t="s">
        <v>1444</v>
      </c>
      <c r="B345" s="6" t="s">
        <v>323</v>
      </c>
      <c r="C345" s="6" t="s">
        <v>279</v>
      </c>
      <c r="D345" s="30" t="s">
        <v>20</v>
      </c>
      <c r="E345" s="114">
        <v>166</v>
      </c>
      <c r="F345" s="12"/>
      <c r="G345" s="12">
        <f t="shared" si="23"/>
        <v>0</v>
      </c>
    </row>
    <row r="346" spans="1:7">
      <c r="A346" s="30" t="s">
        <v>1445</v>
      </c>
      <c r="B346" s="6" t="s">
        <v>324</v>
      </c>
      <c r="C346" s="6" t="s">
        <v>325</v>
      </c>
      <c r="D346" s="30" t="s">
        <v>20</v>
      </c>
      <c r="E346" s="114">
        <v>166</v>
      </c>
      <c r="F346" s="12"/>
      <c r="G346" s="12">
        <f t="shared" si="23"/>
        <v>0</v>
      </c>
    </row>
    <row r="347" spans="1:7" ht="25.5">
      <c r="A347" s="30" t="s">
        <v>1446</v>
      </c>
      <c r="B347" s="6" t="s">
        <v>248</v>
      </c>
      <c r="C347" s="6" t="s">
        <v>315</v>
      </c>
      <c r="D347" s="30" t="s">
        <v>20</v>
      </c>
      <c r="E347" s="114">
        <f>16.5*0.45</f>
        <v>7.4249999999999998</v>
      </c>
      <c r="F347" s="12"/>
      <c r="G347" s="12">
        <f t="shared" si="23"/>
        <v>0</v>
      </c>
    </row>
    <row r="348" spans="1:7" ht="25.5">
      <c r="A348" s="30" t="s">
        <v>1447</v>
      </c>
      <c r="B348" s="6" t="s">
        <v>72</v>
      </c>
      <c r="C348" s="6" t="s">
        <v>326</v>
      </c>
      <c r="D348" s="30" t="s">
        <v>93</v>
      </c>
      <c r="E348" s="114">
        <v>32</v>
      </c>
      <c r="F348" s="12"/>
      <c r="G348" s="12">
        <f t="shared" si="23"/>
        <v>0</v>
      </c>
    </row>
    <row r="349" spans="1:7" ht="25.5">
      <c r="A349" s="30" t="s">
        <v>1448</v>
      </c>
      <c r="B349" s="6" t="s">
        <v>2058</v>
      </c>
      <c r="C349" s="6" t="s">
        <v>2057</v>
      </c>
      <c r="D349" s="30" t="s">
        <v>20</v>
      </c>
      <c r="E349" s="114">
        <v>166</v>
      </c>
      <c r="F349" s="12"/>
      <c r="G349" s="12">
        <f t="shared" ref="G349" si="24">E349*F349</f>
        <v>0</v>
      </c>
    </row>
    <row r="350" spans="1:7" ht="24" customHeight="1">
      <c r="A350" s="37">
        <v>10</v>
      </c>
      <c r="B350" s="148" t="s">
        <v>2140</v>
      </c>
      <c r="C350" s="149"/>
      <c r="D350" s="37"/>
      <c r="E350" s="123"/>
      <c r="F350" s="39"/>
      <c r="G350" s="39">
        <f>SUM(G351:G358)</f>
        <v>0</v>
      </c>
    </row>
    <row r="351" spans="1:7" ht="27.75" customHeight="1">
      <c r="A351" s="30" t="s">
        <v>1449</v>
      </c>
      <c r="B351" s="6" t="s">
        <v>333</v>
      </c>
      <c r="C351" s="6" t="s">
        <v>1934</v>
      </c>
      <c r="D351" s="28" t="s">
        <v>334</v>
      </c>
      <c r="E351" s="114">
        <v>1</v>
      </c>
      <c r="F351" s="12"/>
      <c r="G351" s="12">
        <f>E351*F351</f>
        <v>0</v>
      </c>
    </row>
    <row r="352" spans="1:7" ht="25.5">
      <c r="A352" s="30" t="s">
        <v>1450</v>
      </c>
      <c r="B352" s="6" t="s">
        <v>333</v>
      </c>
      <c r="C352" s="6" t="s">
        <v>1610</v>
      </c>
      <c r="D352" s="28" t="s">
        <v>334</v>
      </c>
      <c r="E352" s="114">
        <v>3</v>
      </c>
      <c r="F352" s="12"/>
      <c r="G352" s="12">
        <f t="shared" ref="G352:G358" si="25">E352*F352</f>
        <v>0</v>
      </c>
    </row>
    <row r="353" spans="1:7" ht="25.5">
      <c r="A353" s="30" t="s">
        <v>1451</v>
      </c>
      <c r="B353" s="6" t="s">
        <v>333</v>
      </c>
      <c r="C353" s="6" t="s">
        <v>335</v>
      </c>
      <c r="D353" s="30" t="s">
        <v>334</v>
      </c>
      <c r="E353" s="114">
        <v>1</v>
      </c>
      <c r="F353" s="12"/>
      <c r="G353" s="12">
        <f t="shared" ref="G353" si="26">E353*F353</f>
        <v>0</v>
      </c>
    </row>
    <row r="354" spans="1:7" ht="25.5">
      <c r="A354" s="30" t="s">
        <v>1452</v>
      </c>
      <c r="B354" s="6" t="s">
        <v>333</v>
      </c>
      <c r="C354" s="6" t="s">
        <v>1611</v>
      </c>
      <c r="D354" s="28" t="s">
        <v>334</v>
      </c>
      <c r="E354" s="114">
        <v>7</v>
      </c>
      <c r="F354" s="12"/>
      <c r="G354" s="12">
        <f t="shared" si="25"/>
        <v>0</v>
      </c>
    </row>
    <row r="355" spans="1:7" ht="25.5">
      <c r="A355" s="30" t="s">
        <v>1453</v>
      </c>
      <c r="B355" s="6" t="s">
        <v>333</v>
      </c>
      <c r="C355" s="6" t="s">
        <v>336</v>
      </c>
      <c r="D355" s="30" t="s">
        <v>334</v>
      </c>
      <c r="E355" s="114">
        <v>1</v>
      </c>
      <c r="F355" s="12"/>
      <c r="G355" s="12">
        <f t="shared" ref="G355" si="27">E355*F355</f>
        <v>0</v>
      </c>
    </row>
    <row r="356" spans="1:7" ht="25.5">
      <c r="A356" s="30" t="s">
        <v>1454</v>
      </c>
      <c r="B356" s="6" t="s">
        <v>333</v>
      </c>
      <c r="C356" s="6" t="s">
        <v>1612</v>
      </c>
      <c r="D356" s="28" t="s">
        <v>334</v>
      </c>
      <c r="E356" s="114">
        <v>1</v>
      </c>
      <c r="F356" s="12"/>
      <c r="G356" s="12">
        <f t="shared" si="25"/>
        <v>0</v>
      </c>
    </row>
    <row r="357" spans="1:7" ht="25.5">
      <c r="A357" s="30" t="s">
        <v>1455</v>
      </c>
      <c r="B357" s="6" t="s">
        <v>333</v>
      </c>
      <c r="C357" s="6" t="s">
        <v>337</v>
      </c>
      <c r="D357" s="30" t="s">
        <v>334</v>
      </c>
      <c r="E357" s="114">
        <v>1</v>
      </c>
      <c r="F357" s="12"/>
      <c r="G357" s="12">
        <f t="shared" ref="G357" si="28">E357*F357</f>
        <v>0</v>
      </c>
    </row>
    <row r="358" spans="1:7" ht="25.5">
      <c r="A358" s="30" t="s">
        <v>1456</v>
      </c>
      <c r="B358" s="6" t="s">
        <v>333</v>
      </c>
      <c r="C358" s="6" t="s">
        <v>338</v>
      </c>
      <c r="D358" s="28" t="s">
        <v>334</v>
      </c>
      <c r="E358" s="114">
        <v>1</v>
      </c>
      <c r="F358" s="12"/>
      <c r="G358" s="12">
        <f t="shared" si="25"/>
        <v>0</v>
      </c>
    </row>
    <row r="359" spans="1:7" ht="22.5" customHeight="1">
      <c r="A359" s="37">
        <v>11</v>
      </c>
      <c r="B359" s="148" t="s">
        <v>339</v>
      </c>
      <c r="C359" s="149"/>
      <c r="D359" s="37"/>
      <c r="E359" s="123"/>
      <c r="F359" s="39"/>
      <c r="G359" s="39">
        <f>SUM(G360:G367)</f>
        <v>0</v>
      </c>
    </row>
    <row r="360" spans="1:7" ht="25.5">
      <c r="A360" s="30" t="s">
        <v>1462</v>
      </c>
      <c r="B360" s="6" t="s">
        <v>340</v>
      </c>
      <c r="C360" s="6" t="s">
        <v>1585</v>
      </c>
      <c r="D360" s="28" t="s">
        <v>20</v>
      </c>
      <c r="E360" s="114">
        <f>1.1*3.8*1</f>
        <v>4.18</v>
      </c>
      <c r="F360" s="12"/>
      <c r="G360" s="12">
        <f t="shared" ref="G360:G367" si="29">E360*F360</f>
        <v>0</v>
      </c>
    </row>
    <row r="361" spans="1:7" ht="25.5">
      <c r="A361" s="30" t="s">
        <v>1463</v>
      </c>
      <c r="B361" s="6" t="s">
        <v>341</v>
      </c>
      <c r="C361" s="6" t="s">
        <v>1925</v>
      </c>
      <c r="D361" s="28" t="s">
        <v>20</v>
      </c>
      <c r="E361" s="114">
        <f>0.9*2*16</f>
        <v>28.8</v>
      </c>
      <c r="F361" s="12"/>
      <c r="G361" s="12">
        <f t="shared" si="29"/>
        <v>0</v>
      </c>
    </row>
    <row r="362" spans="1:7" ht="25.5">
      <c r="A362" s="30" t="s">
        <v>1464</v>
      </c>
      <c r="B362" s="6" t="s">
        <v>341</v>
      </c>
      <c r="C362" s="6" t="s">
        <v>1926</v>
      </c>
      <c r="D362" s="28" t="s">
        <v>20</v>
      </c>
      <c r="E362" s="114">
        <f>0.9*2*1</f>
        <v>1.8</v>
      </c>
      <c r="F362" s="12"/>
      <c r="G362" s="12">
        <f t="shared" si="29"/>
        <v>0</v>
      </c>
    </row>
    <row r="363" spans="1:7" ht="25.5">
      <c r="A363" s="30" t="s">
        <v>1465</v>
      </c>
      <c r="B363" s="6" t="s">
        <v>341</v>
      </c>
      <c r="C363" s="6" t="s">
        <v>1927</v>
      </c>
      <c r="D363" s="28" t="s">
        <v>20</v>
      </c>
      <c r="E363" s="114">
        <f>0.9*2*18</f>
        <v>32.4</v>
      </c>
      <c r="F363" s="12"/>
      <c r="G363" s="12">
        <f t="shared" si="29"/>
        <v>0</v>
      </c>
    </row>
    <row r="364" spans="1:7" ht="25.5">
      <c r="A364" s="30" t="s">
        <v>1466</v>
      </c>
      <c r="B364" s="6" t="s">
        <v>341</v>
      </c>
      <c r="C364" s="6" t="s">
        <v>1928</v>
      </c>
      <c r="D364" s="28" t="s">
        <v>20</v>
      </c>
      <c r="E364" s="114">
        <f>0.9*2*2</f>
        <v>3.6</v>
      </c>
      <c r="F364" s="12"/>
      <c r="G364" s="12">
        <f t="shared" si="29"/>
        <v>0</v>
      </c>
    </row>
    <row r="365" spans="1:7" ht="25.5">
      <c r="A365" s="30" t="s">
        <v>1467</v>
      </c>
      <c r="B365" s="6" t="s">
        <v>341</v>
      </c>
      <c r="C365" s="6" t="s">
        <v>1929</v>
      </c>
      <c r="D365" s="28" t="s">
        <v>20</v>
      </c>
      <c r="E365" s="114">
        <f>0.8*2*1</f>
        <v>1.6</v>
      </c>
      <c r="F365" s="12"/>
      <c r="G365" s="12">
        <f t="shared" si="29"/>
        <v>0</v>
      </c>
    </row>
    <row r="366" spans="1:7" ht="25.5">
      <c r="A366" s="30" t="s">
        <v>1468</v>
      </c>
      <c r="B366" s="6" t="s">
        <v>340</v>
      </c>
      <c r="C366" s="6" t="s">
        <v>2133</v>
      </c>
      <c r="D366" s="28" t="s">
        <v>20</v>
      </c>
      <c r="E366" s="114">
        <f>0.9*2*1</f>
        <v>1.8</v>
      </c>
      <c r="F366" s="12"/>
      <c r="G366" s="12">
        <f t="shared" si="29"/>
        <v>0</v>
      </c>
    </row>
    <row r="367" spans="1:7" ht="25.5">
      <c r="A367" s="30" t="s">
        <v>1469</v>
      </c>
      <c r="B367" s="6" t="s">
        <v>341</v>
      </c>
      <c r="C367" s="6" t="s">
        <v>1930</v>
      </c>
      <c r="D367" s="28" t="s">
        <v>20</v>
      </c>
      <c r="E367" s="114">
        <f>0.9*2*2</f>
        <v>3.6</v>
      </c>
      <c r="F367" s="12"/>
      <c r="G367" s="12">
        <f t="shared" si="29"/>
        <v>0</v>
      </c>
    </row>
    <row r="368" spans="1:7" ht="15">
      <c r="A368" s="150" t="s">
        <v>1882</v>
      </c>
      <c r="B368" s="151"/>
      <c r="C368" s="152"/>
      <c r="D368" s="79"/>
      <c r="E368" s="126"/>
      <c r="F368" s="81"/>
      <c r="G368" s="80">
        <f>SUM(G369,G393,G422,G442,G479,G586,G600)</f>
        <v>0</v>
      </c>
    </row>
    <row r="369" spans="1:7" ht="15">
      <c r="A369" s="37">
        <v>1</v>
      </c>
      <c r="B369" s="148" t="s">
        <v>516</v>
      </c>
      <c r="C369" s="149"/>
      <c r="D369" s="37"/>
      <c r="E369" s="123"/>
      <c r="F369" s="39"/>
      <c r="G369" s="40">
        <f>SUM(G370,G386)</f>
        <v>0</v>
      </c>
    </row>
    <row r="370" spans="1:7" ht="15">
      <c r="A370" s="61" t="s">
        <v>380</v>
      </c>
      <c r="B370" s="138" t="s">
        <v>399</v>
      </c>
      <c r="C370" s="139"/>
      <c r="D370" s="61"/>
      <c r="E370" s="121"/>
      <c r="F370" s="65"/>
      <c r="G370" s="74">
        <f>SUM(G371:G385)</f>
        <v>0</v>
      </c>
    </row>
    <row r="371" spans="1:7" ht="38.25">
      <c r="A371" s="77" t="s">
        <v>1536</v>
      </c>
      <c r="B371" s="6" t="s">
        <v>517</v>
      </c>
      <c r="C371" s="6" t="s">
        <v>518</v>
      </c>
      <c r="D371" s="77" t="s">
        <v>93</v>
      </c>
      <c r="E371" s="114">
        <v>32</v>
      </c>
      <c r="F371" s="12"/>
      <c r="G371" s="21">
        <f t="shared" ref="G371:G385" si="30">E371*F371</f>
        <v>0</v>
      </c>
    </row>
    <row r="372" spans="1:7" ht="38.25">
      <c r="A372" s="77" t="s">
        <v>1659</v>
      </c>
      <c r="B372" s="6" t="s">
        <v>519</v>
      </c>
      <c r="C372" s="6" t="s">
        <v>520</v>
      </c>
      <c r="D372" s="77" t="s">
        <v>93</v>
      </c>
      <c r="E372" s="114">
        <v>27</v>
      </c>
      <c r="F372" s="12"/>
      <c r="G372" s="21">
        <f t="shared" si="30"/>
        <v>0</v>
      </c>
    </row>
    <row r="373" spans="1:7" ht="38.25">
      <c r="A373" s="77" t="s">
        <v>1660</v>
      </c>
      <c r="B373" s="6" t="s">
        <v>521</v>
      </c>
      <c r="C373" s="6" t="s">
        <v>522</v>
      </c>
      <c r="D373" s="77" t="s">
        <v>93</v>
      </c>
      <c r="E373" s="114">
        <v>22</v>
      </c>
      <c r="F373" s="12"/>
      <c r="G373" s="21">
        <f t="shared" si="30"/>
        <v>0</v>
      </c>
    </row>
    <row r="374" spans="1:7" ht="25.5">
      <c r="A374" s="77" t="s">
        <v>1661</v>
      </c>
      <c r="B374" s="6" t="s">
        <v>523</v>
      </c>
      <c r="C374" s="6" t="s">
        <v>524</v>
      </c>
      <c r="D374" s="77" t="s">
        <v>525</v>
      </c>
      <c r="E374" s="114">
        <v>3</v>
      </c>
      <c r="F374" s="12"/>
      <c r="G374" s="21">
        <f t="shared" si="30"/>
        <v>0</v>
      </c>
    </row>
    <row r="375" spans="1:7" ht="25.5">
      <c r="A375" s="77" t="s">
        <v>1662</v>
      </c>
      <c r="B375" s="6" t="s">
        <v>526</v>
      </c>
      <c r="C375" s="6" t="s">
        <v>527</v>
      </c>
      <c r="D375" s="77" t="s">
        <v>102</v>
      </c>
      <c r="E375" s="114">
        <v>20</v>
      </c>
      <c r="F375" s="12"/>
      <c r="G375" s="21">
        <f t="shared" si="30"/>
        <v>0</v>
      </c>
    </row>
    <row r="376" spans="1:7" ht="25.5">
      <c r="A376" s="77" t="s">
        <v>1663</v>
      </c>
      <c r="B376" s="6" t="s">
        <v>528</v>
      </c>
      <c r="C376" s="6" t="s">
        <v>1674</v>
      </c>
      <c r="D376" s="77" t="s">
        <v>334</v>
      </c>
      <c r="E376" s="114">
        <v>4</v>
      </c>
      <c r="F376" s="12"/>
      <c r="G376" s="21">
        <f t="shared" si="30"/>
        <v>0</v>
      </c>
    </row>
    <row r="377" spans="1:7" ht="25.5">
      <c r="A377" s="77" t="s">
        <v>1664</v>
      </c>
      <c r="B377" s="6" t="s">
        <v>529</v>
      </c>
      <c r="C377" s="6" t="s">
        <v>530</v>
      </c>
      <c r="D377" s="77" t="s">
        <v>334</v>
      </c>
      <c r="E377" s="114">
        <v>4</v>
      </c>
      <c r="F377" s="12"/>
      <c r="G377" s="21">
        <f t="shared" si="30"/>
        <v>0</v>
      </c>
    </row>
    <row r="378" spans="1:7" ht="15">
      <c r="A378" s="77" t="s">
        <v>1665</v>
      </c>
      <c r="B378" s="6" t="s">
        <v>531</v>
      </c>
      <c r="C378" s="6" t="s">
        <v>532</v>
      </c>
      <c r="D378" s="77" t="s">
        <v>334</v>
      </c>
      <c r="E378" s="114">
        <v>4</v>
      </c>
      <c r="F378" s="12"/>
      <c r="G378" s="21">
        <f t="shared" si="30"/>
        <v>0</v>
      </c>
    </row>
    <row r="379" spans="1:7" ht="25.5">
      <c r="A379" s="77" t="s">
        <v>1666</v>
      </c>
      <c r="B379" s="6" t="s">
        <v>472</v>
      </c>
      <c r="C379" s="6" t="s">
        <v>473</v>
      </c>
      <c r="D379" s="77" t="s">
        <v>20</v>
      </c>
      <c r="E379" s="114">
        <v>8.91</v>
      </c>
      <c r="F379" s="12"/>
      <c r="G379" s="21">
        <f t="shared" si="30"/>
        <v>0</v>
      </c>
    </row>
    <row r="380" spans="1:7" ht="15">
      <c r="A380" s="77" t="s">
        <v>1667</v>
      </c>
      <c r="B380" s="6" t="s">
        <v>474</v>
      </c>
      <c r="C380" s="6" t="s">
        <v>475</v>
      </c>
      <c r="D380" s="77" t="s">
        <v>20</v>
      </c>
      <c r="E380" s="114">
        <v>8.91</v>
      </c>
      <c r="F380" s="12"/>
      <c r="G380" s="21">
        <f t="shared" si="30"/>
        <v>0</v>
      </c>
    </row>
    <row r="381" spans="1:7" ht="25.5">
      <c r="A381" s="77" t="s">
        <v>1668</v>
      </c>
      <c r="B381" s="6" t="s">
        <v>476</v>
      </c>
      <c r="C381" s="6" t="s">
        <v>477</v>
      </c>
      <c r="D381" s="77" t="s">
        <v>20</v>
      </c>
      <c r="E381" s="114">
        <v>8.91</v>
      </c>
      <c r="F381" s="12"/>
      <c r="G381" s="21">
        <f t="shared" si="30"/>
        <v>0</v>
      </c>
    </row>
    <row r="382" spans="1:7" ht="25.5">
      <c r="A382" s="77" t="s">
        <v>1669</v>
      </c>
      <c r="B382" s="6" t="s">
        <v>478</v>
      </c>
      <c r="C382" s="6" t="s">
        <v>479</v>
      </c>
      <c r="D382" s="77" t="s">
        <v>20</v>
      </c>
      <c r="E382" s="114">
        <v>8.91</v>
      </c>
      <c r="F382" s="12"/>
      <c r="G382" s="21">
        <f t="shared" si="30"/>
        <v>0</v>
      </c>
    </row>
    <row r="383" spans="1:7" ht="15">
      <c r="A383" s="77" t="s">
        <v>1670</v>
      </c>
      <c r="B383" s="6" t="s">
        <v>72</v>
      </c>
      <c r="C383" s="6" t="s">
        <v>533</v>
      </c>
      <c r="D383" s="77" t="s">
        <v>161</v>
      </c>
      <c r="E383" s="114">
        <v>3</v>
      </c>
      <c r="F383" s="12"/>
      <c r="G383" s="21">
        <f t="shared" si="30"/>
        <v>0</v>
      </c>
    </row>
    <row r="384" spans="1:7" ht="15">
      <c r="A384" s="77" t="s">
        <v>1671</v>
      </c>
      <c r="B384" s="6" t="s">
        <v>72</v>
      </c>
      <c r="C384" s="6" t="s">
        <v>534</v>
      </c>
      <c r="D384" s="77" t="s">
        <v>334</v>
      </c>
      <c r="E384" s="114">
        <v>1</v>
      </c>
      <c r="F384" s="12"/>
      <c r="G384" s="21">
        <f t="shared" si="30"/>
        <v>0</v>
      </c>
    </row>
    <row r="385" spans="1:7" ht="38.25">
      <c r="A385" s="77" t="s">
        <v>1672</v>
      </c>
      <c r="B385" s="6" t="s">
        <v>1673</v>
      </c>
      <c r="C385" s="6" t="s">
        <v>1675</v>
      </c>
      <c r="D385" s="77" t="s">
        <v>162</v>
      </c>
      <c r="E385" s="114">
        <v>3</v>
      </c>
      <c r="F385" s="12"/>
      <c r="G385" s="21">
        <f t="shared" si="30"/>
        <v>0</v>
      </c>
    </row>
    <row r="386" spans="1:7" ht="15">
      <c r="A386" s="61" t="s">
        <v>398</v>
      </c>
      <c r="B386" s="138" t="s">
        <v>502</v>
      </c>
      <c r="C386" s="139"/>
      <c r="D386" s="61"/>
      <c r="E386" s="121"/>
      <c r="F386" s="65"/>
      <c r="G386" s="74">
        <f>SUM(G387:G392)</f>
        <v>0</v>
      </c>
    </row>
    <row r="387" spans="1:7" ht="25.5">
      <c r="A387" s="77" t="s">
        <v>1537</v>
      </c>
      <c r="B387" s="6" t="s">
        <v>503</v>
      </c>
      <c r="C387" s="6" t="s">
        <v>504</v>
      </c>
      <c r="D387" s="77" t="s">
        <v>102</v>
      </c>
      <c r="E387" s="114">
        <v>4</v>
      </c>
      <c r="F387" s="12"/>
      <c r="G387" s="21">
        <f t="shared" ref="G387:G392" si="31">E387*F387</f>
        <v>0</v>
      </c>
    </row>
    <row r="388" spans="1:7" ht="25.5">
      <c r="A388" s="77" t="s">
        <v>1538</v>
      </c>
      <c r="B388" s="6" t="s">
        <v>505</v>
      </c>
      <c r="C388" s="6" t="s">
        <v>506</v>
      </c>
      <c r="D388" s="77" t="s">
        <v>102</v>
      </c>
      <c r="E388" s="114">
        <v>1</v>
      </c>
      <c r="F388" s="12"/>
      <c r="G388" s="21">
        <f t="shared" si="31"/>
        <v>0</v>
      </c>
    </row>
    <row r="389" spans="1:7" ht="15">
      <c r="A389" s="77" t="s">
        <v>1539</v>
      </c>
      <c r="B389" s="6" t="s">
        <v>535</v>
      </c>
      <c r="C389" s="6" t="s">
        <v>536</v>
      </c>
      <c r="D389" s="77" t="s">
        <v>102</v>
      </c>
      <c r="E389" s="114">
        <v>2</v>
      </c>
      <c r="F389" s="12"/>
      <c r="G389" s="21">
        <f t="shared" si="31"/>
        <v>0</v>
      </c>
    </row>
    <row r="390" spans="1:7" ht="15">
      <c r="A390" s="77" t="s">
        <v>1540</v>
      </c>
      <c r="B390" s="6" t="s">
        <v>507</v>
      </c>
      <c r="C390" s="6" t="s">
        <v>508</v>
      </c>
      <c r="D390" s="77" t="s">
        <v>102</v>
      </c>
      <c r="E390" s="114">
        <v>4</v>
      </c>
      <c r="F390" s="12"/>
      <c r="G390" s="21">
        <f t="shared" si="31"/>
        <v>0</v>
      </c>
    </row>
    <row r="391" spans="1:7" ht="15">
      <c r="A391" s="77" t="s">
        <v>1541</v>
      </c>
      <c r="B391" s="6" t="s">
        <v>509</v>
      </c>
      <c r="C391" s="6" t="s">
        <v>510</v>
      </c>
      <c r="D391" s="77" t="s">
        <v>102</v>
      </c>
      <c r="E391" s="114">
        <v>1</v>
      </c>
      <c r="F391" s="12"/>
      <c r="G391" s="21">
        <f t="shared" si="31"/>
        <v>0</v>
      </c>
    </row>
    <row r="392" spans="1:7" ht="15">
      <c r="A392" s="77" t="s">
        <v>1542</v>
      </c>
      <c r="B392" s="6" t="s">
        <v>537</v>
      </c>
      <c r="C392" s="6" t="s">
        <v>538</v>
      </c>
      <c r="D392" s="77" t="s">
        <v>102</v>
      </c>
      <c r="E392" s="114">
        <v>2</v>
      </c>
      <c r="F392" s="12"/>
      <c r="G392" s="21">
        <f t="shared" si="31"/>
        <v>0</v>
      </c>
    </row>
    <row r="393" spans="1:7" ht="15">
      <c r="A393" s="37">
        <v>2</v>
      </c>
      <c r="B393" s="148" t="s">
        <v>1848</v>
      </c>
      <c r="C393" s="149"/>
      <c r="D393" s="37"/>
      <c r="E393" s="123"/>
      <c r="F393" s="39"/>
      <c r="G393" s="40">
        <f>SUM(G394,G403)</f>
        <v>0</v>
      </c>
    </row>
    <row r="394" spans="1:7" ht="15">
      <c r="A394" s="61" t="s">
        <v>95</v>
      </c>
      <c r="B394" s="138" t="s">
        <v>397</v>
      </c>
      <c r="C394" s="139"/>
      <c r="D394" s="61"/>
      <c r="E394" s="121"/>
      <c r="F394" s="65"/>
      <c r="G394" s="74">
        <f>SUM(G395:G402)</f>
        <v>0</v>
      </c>
    </row>
    <row r="395" spans="1:7" ht="15">
      <c r="A395" s="77" t="s">
        <v>1262</v>
      </c>
      <c r="B395" s="6" t="s">
        <v>72</v>
      </c>
      <c r="C395" s="6" t="s">
        <v>1535</v>
      </c>
      <c r="D395" s="77" t="s">
        <v>162</v>
      </c>
      <c r="E395" s="114">
        <v>1</v>
      </c>
      <c r="F395" s="12"/>
      <c r="G395" s="21">
        <f t="shared" ref="G395:G402" si="32">E395*F395</f>
        <v>0</v>
      </c>
    </row>
    <row r="396" spans="1:7" ht="25.5">
      <c r="A396" s="77" t="s">
        <v>1263</v>
      </c>
      <c r="B396" s="6" t="s">
        <v>539</v>
      </c>
      <c r="C396" s="6" t="s">
        <v>540</v>
      </c>
      <c r="D396" s="77" t="s">
        <v>93</v>
      </c>
      <c r="E396" s="114">
        <v>341</v>
      </c>
      <c r="F396" s="12"/>
      <c r="G396" s="21">
        <f t="shared" si="32"/>
        <v>0</v>
      </c>
    </row>
    <row r="397" spans="1:7" ht="25.5">
      <c r="A397" s="77" t="s">
        <v>1264</v>
      </c>
      <c r="B397" s="6" t="s">
        <v>541</v>
      </c>
      <c r="C397" s="6" t="s">
        <v>542</v>
      </c>
      <c r="D397" s="77" t="s">
        <v>93</v>
      </c>
      <c r="E397" s="114">
        <v>25</v>
      </c>
      <c r="F397" s="12"/>
      <c r="G397" s="21">
        <f t="shared" si="32"/>
        <v>0</v>
      </c>
    </row>
    <row r="398" spans="1:7" ht="25.5">
      <c r="A398" s="77" t="s">
        <v>1265</v>
      </c>
      <c r="B398" s="6" t="s">
        <v>543</v>
      </c>
      <c r="C398" s="6" t="s">
        <v>544</v>
      </c>
      <c r="D398" s="77" t="s">
        <v>93</v>
      </c>
      <c r="E398" s="114">
        <v>23</v>
      </c>
      <c r="F398" s="12"/>
      <c r="G398" s="21">
        <f t="shared" si="32"/>
        <v>0</v>
      </c>
    </row>
    <row r="399" spans="1:7" ht="25.5">
      <c r="A399" s="77" t="s">
        <v>1266</v>
      </c>
      <c r="B399" s="6" t="s">
        <v>543</v>
      </c>
      <c r="C399" s="6" t="s">
        <v>545</v>
      </c>
      <c r="D399" s="77" t="s">
        <v>93</v>
      </c>
      <c r="E399" s="114">
        <v>23</v>
      </c>
      <c r="F399" s="12"/>
      <c r="G399" s="21">
        <f t="shared" si="32"/>
        <v>0</v>
      </c>
    </row>
    <row r="400" spans="1:7" ht="25.5">
      <c r="A400" s="77" t="s">
        <v>1267</v>
      </c>
      <c r="B400" s="6" t="s">
        <v>550</v>
      </c>
      <c r="C400" s="6" t="s">
        <v>551</v>
      </c>
      <c r="D400" s="77" t="s">
        <v>7</v>
      </c>
      <c r="E400" s="114">
        <f>35*0.15-0.75</f>
        <v>4.5</v>
      </c>
      <c r="F400" s="12"/>
      <c r="G400" s="21">
        <f t="shared" si="32"/>
        <v>0</v>
      </c>
    </row>
    <row r="401" spans="1:7" ht="25.5">
      <c r="A401" s="77" t="s">
        <v>1268</v>
      </c>
      <c r="B401" s="6" t="s">
        <v>552</v>
      </c>
      <c r="C401" s="6" t="s">
        <v>553</v>
      </c>
      <c r="D401" s="77" t="s">
        <v>7</v>
      </c>
      <c r="E401" s="114">
        <f>E400</f>
        <v>4.5</v>
      </c>
      <c r="F401" s="12"/>
      <c r="G401" s="21">
        <f t="shared" si="32"/>
        <v>0</v>
      </c>
    </row>
    <row r="402" spans="1:7" ht="15">
      <c r="A402" s="77" t="s">
        <v>1269</v>
      </c>
      <c r="B402" s="6" t="s">
        <v>72</v>
      </c>
      <c r="C402" s="6" t="s">
        <v>554</v>
      </c>
      <c r="D402" s="77" t="s">
        <v>7</v>
      </c>
      <c r="E402" s="114">
        <f>E400</f>
        <v>4.5</v>
      </c>
      <c r="F402" s="12"/>
      <c r="G402" s="21">
        <f t="shared" si="32"/>
        <v>0</v>
      </c>
    </row>
    <row r="403" spans="1:7" ht="15">
      <c r="A403" s="61" t="s">
        <v>108</v>
      </c>
      <c r="B403" s="138" t="s">
        <v>399</v>
      </c>
      <c r="C403" s="139"/>
      <c r="D403" s="61"/>
      <c r="E403" s="121"/>
      <c r="F403" s="65"/>
      <c r="G403" s="74">
        <f>SUM(G404:G421)</f>
        <v>0</v>
      </c>
    </row>
    <row r="404" spans="1:7" ht="15">
      <c r="A404" s="77" t="s">
        <v>1271</v>
      </c>
      <c r="B404" s="6" t="s">
        <v>555</v>
      </c>
      <c r="C404" s="6" t="s">
        <v>556</v>
      </c>
      <c r="D404" s="77" t="s">
        <v>93</v>
      </c>
      <c r="E404" s="114">
        <v>541</v>
      </c>
      <c r="F404" s="12"/>
      <c r="G404" s="21">
        <f t="shared" ref="G404:G421" si="33">E404*F404</f>
        <v>0</v>
      </c>
    </row>
    <row r="405" spans="1:7" ht="15">
      <c r="A405" s="77" t="s">
        <v>1272</v>
      </c>
      <c r="B405" s="6" t="s">
        <v>555</v>
      </c>
      <c r="C405" s="6" t="s">
        <v>557</v>
      </c>
      <c r="D405" s="77" t="s">
        <v>93</v>
      </c>
      <c r="E405" s="114">
        <v>25</v>
      </c>
      <c r="F405" s="12"/>
      <c r="G405" s="21">
        <f t="shared" si="33"/>
        <v>0</v>
      </c>
    </row>
    <row r="406" spans="1:7" ht="15">
      <c r="A406" s="77" t="s">
        <v>1543</v>
      </c>
      <c r="B406" s="6" t="s">
        <v>558</v>
      </c>
      <c r="C406" s="6" t="s">
        <v>559</v>
      </c>
      <c r="D406" s="77" t="s">
        <v>93</v>
      </c>
      <c r="E406" s="114">
        <v>23</v>
      </c>
      <c r="F406" s="12"/>
      <c r="G406" s="21">
        <f t="shared" si="33"/>
        <v>0</v>
      </c>
    </row>
    <row r="407" spans="1:7" ht="15">
      <c r="A407" s="77" t="s">
        <v>1544</v>
      </c>
      <c r="B407" s="6" t="s">
        <v>560</v>
      </c>
      <c r="C407" s="6" t="s">
        <v>561</v>
      </c>
      <c r="D407" s="77" t="s">
        <v>93</v>
      </c>
      <c r="E407" s="114">
        <v>23</v>
      </c>
      <c r="F407" s="12"/>
      <c r="G407" s="21">
        <f t="shared" si="33"/>
        <v>0</v>
      </c>
    </row>
    <row r="408" spans="1:7" ht="25.5">
      <c r="A408" s="77" t="s">
        <v>1545</v>
      </c>
      <c r="B408" s="6" t="s">
        <v>562</v>
      </c>
      <c r="C408" s="6" t="s">
        <v>563</v>
      </c>
      <c r="D408" s="77" t="s">
        <v>93</v>
      </c>
      <c r="E408" s="114">
        <f>541+25+23+23</f>
        <v>612</v>
      </c>
      <c r="F408" s="12"/>
      <c r="G408" s="21">
        <f t="shared" si="33"/>
        <v>0</v>
      </c>
    </row>
    <row r="409" spans="1:7" ht="25.5">
      <c r="A409" s="77" t="s">
        <v>1546</v>
      </c>
      <c r="B409" s="6" t="s">
        <v>564</v>
      </c>
      <c r="C409" s="6" t="s">
        <v>565</v>
      </c>
      <c r="D409" s="77" t="s">
        <v>566</v>
      </c>
      <c r="E409" s="114">
        <v>1</v>
      </c>
      <c r="F409" s="12"/>
      <c r="G409" s="21">
        <f t="shared" si="33"/>
        <v>0</v>
      </c>
    </row>
    <row r="410" spans="1:7" ht="25.5">
      <c r="A410" s="77" t="s">
        <v>1849</v>
      </c>
      <c r="B410" s="6" t="s">
        <v>567</v>
      </c>
      <c r="C410" s="6" t="s">
        <v>568</v>
      </c>
      <c r="D410" s="77" t="s">
        <v>93</v>
      </c>
      <c r="E410" s="114">
        <v>612</v>
      </c>
      <c r="F410" s="12"/>
      <c r="G410" s="21">
        <f t="shared" si="33"/>
        <v>0</v>
      </c>
    </row>
    <row r="411" spans="1:7" ht="15">
      <c r="A411" s="77" t="s">
        <v>1850</v>
      </c>
      <c r="B411" s="6" t="s">
        <v>464</v>
      </c>
      <c r="C411" s="6" t="s">
        <v>569</v>
      </c>
      <c r="D411" s="77" t="s">
        <v>102</v>
      </c>
      <c r="E411" s="114">
        <v>8</v>
      </c>
      <c r="F411" s="12"/>
      <c r="G411" s="21">
        <f t="shared" si="33"/>
        <v>0</v>
      </c>
    </row>
    <row r="412" spans="1:7" ht="15">
      <c r="A412" s="77" t="s">
        <v>1851</v>
      </c>
      <c r="B412" s="6" t="s">
        <v>456</v>
      </c>
      <c r="C412" s="6" t="s">
        <v>570</v>
      </c>
      <c r="D412" s="77" t="s">
        <v>102</v>
      </c>
      <c r="E412" s="114">
        <v>4</v>
      </c>
      <c r="F412" s="12"/>
      <c r="G412" s="21">
        <f t="shared" si="33"/>
        <v>0</v>
      </c>
    </row>
    <row r="413" spans="1:7" ht="25.5">
      <c r="A413" s="77" t="s">
        <v>1852</v>
      </c>
      <c r="B413" s="6" t="s">
        <v>573</v>
      </c>
      <c r="C413" s="6" t="s">
        <v>574</v>
      </c>
      <c r="D413" s="77" t="s">
        <v>102</v>
      </c>
      <c r="E413" s="114">
        <v>4</v>
      </c>
      <c r="F413" s="12"/>
      <c r="G413" s="21">
        <f t="shared" si="33"/>
        <v>0</v>
      </c>
    </row>
    <row r="414" spans="1:7" ht="15">
      <c r="A414" s="77" t="s">
        <v>1853</v>
      </c>
      <c r="B414" s="6" t="s">
        <v>579</v>
      </c>
      <c r="C414" s="6" t="s">
        <v>1913</v>
      </c>
      <c r="D414" s="77" t="s">
        <v>334</v>
      </c>
      <c r="E414" s="114">
        <v>3</v>
      </c>
      <c r="F414" s="12"/>
      <c r="G414" s="21">
        <f>E414*F414</f>
        <v>0</v>
      </c>
    </row>
    <row r="415" spans="1:7" ht="15">
      <c r="A415" s="77" t="s">
        <v>1854</v>
      </c>
      <c r="B415" s="6" t="s">
        <v>580</v>
      </c>
      <c r="C415" s="6" t="s">
        <v>581</v>
      </c>
      <c r="D415" s="77" t="s">
        <v>334</v>
      </c>
      <c r="E415" s="114">
        <v>2</v>
      </c>
      <c r="F415" s="12"/>
      <c r="G415" s="21">
        <f t="shared" si="33"/>
        <v>0</v>
      </c>
    </row>
    <row r="416" spans="1:7" ht="15">
      <c r="A416" s="77" t="s">
        <v>1855</v>
      </c>
      <c r="B416" s="6" t="s">
        <v>582</v>
      </c>
      <c r="C416" s="6" t="s">
        <v>583</v>
      </c>
      <c r="D416" s="77" t="s">
        <v>334</v>
      </c>
      <c r="E416" s="114">
        <v>1</v>
      </c>
      <c r="F416" s="12"/>
      <c r="G416" s="21">
        <f t="shared" si="33"/>
        <v>0</v>
      </c>
    </row>
    <row r="417" spans="1:7" ht="15">
      <c r="A417" s="77" t="s">
        <v>1856</v>
      </c>
      <c r="B417" s="6" t="s">
        <v>584</v>
      </c>
      <c r="C417" s="6" t="s">
        <v>585</v>
      </c>
      <c r="D417" s="77" t="s">
        <v>334</v>
      </c>
      <c r="E417" s="114">
        <v>1</v>
      </c>
      <c r="F417" s="12"/>
      <c r="G417" s="21">
        <f t="shared" si="33"/>
        <v>0</v>
      </c>
    </row>
    <row r="418" spans="1:7" ht="15">
      <c r="A418" s="77" t="s">
        <v>1857</v>
      </c>
      <c r="B418" s="6" t="s">
        <v>586</v>
      </c>
      <c r="C418" s="6" t="s">
        <v>587</v>
      </c>
      <c r="D418" s="77" t="s">
        <v>334</v>
      </c>
      <c r="E418" s="114">
        <v>1</v>
      </c>
      <c r="F418" s="12"/>
      <c r="G418" s="21">
        <f t="shared" si="33"/>
        <v>0</v>
      </c>
    </row>
    <row r="419" spans="1:7" ht="15">
      <c r="A419" s="77" t="s">
        <v>1858</v>
      </c>
      <c r="B419" s="6" t="s">
        <v>588</v>
      </c>
      <c r="C419" s="6" t="s">
        <v>589</v>
      </c>
      <c r="D419" s="77" t="s">
        <v>334</v>
      </c>
      <c r="E419" s="114">
        <v>1</v>
      </c>
      <c r="F419" s="12"/>
      <c r="G419" s="21">
        <f t="shared" si="33"/>
        <v>0</v>
      </c>
    </row>
    <row r="420" spans="1:7" ht="15">
      <c r="A420" s="77" t="s">
        <v>1859</v>
      </c>
      <c r="B420" s="6" t="s">
        <v>590</v>
      </c>
      <c r="C420" s="6" t="s">
        <v>591</v>
      </c>
      <c r="D420" s="77" t="s">
        <v>102</v>
      </c>
      <c r="E420" s="114">
        <v>4</v>
      </c>
      <c r="F420" s="12"/>
      <c r="G420" s="21">
        <f t="shared" si="33"/>
        <v>0</v>
      </c>
    </row>
    <row r="421" spans="1:7" ht="15">
      <c r="A421" s="77" t="s">
        <v>1887</v>
      </c>
      <c r="B421" s="6" t="s">
        <v>590</v>
      </c>
      <c r="C421" s="6" t="s">
        <v>592</v>
      </c>
      <c r="D421" s="77" t="s">
        <v>102</v>
      </c>
      <c r="E421" s="114">
        <v>2</v>
      </c>
      <c r="F421" s="12"/>
      <c r="G421" s="21">
        <f t="shared" si="33"/>
        <v>0</v>
      </c>
    </row>
    <row r="422" spans="1:7" ht="15">
      <c r="A422" s="37">
        <v>3</v>
      </c>
      <c r="B422" s="148" t="s">
        <v>622</v>
      </c>
      <c r="C422" s="149"/>
      <c r="D422" s="37"/>
      <c r="E422" s="123"/>
      <c r="F422" s="39"/>
      <c r="G422" s="40">
        <f>SUM(G423,G435)</f>
        <v>0</v>
      </c>
    </row>
    <row r="423" spans="1:7" ht="15">
      <c r="A423" s="61" t="s">
        <v>148</v>
      </c>
      <c r="B423" s="138" t="s">
        <v>399</v>
      </c>
      <c r="C423" s="139"/>
      <c r="D423" s="61"/>
      <c r="E423" s="121"/>
      <c r="F423" s="65"/>
      <c r="G423" s="74">
        <f>SUM(G424:G434)</f>
        <v>0</v>
      </c>
    </row>
    <row r="424" spans="1:7" ht="25.5">
      <c r="A424" s="77" t="s">
        <v>1286</v>
      </c>
      <c r="B424" s="6" t="s">
        <v>623</v>
      </c>
      <c r="C424" s="6" t="s">
        <v>624</v>
      </c>
      <c r="D424" s="77" t="s">
        <v>93</v>
      </c>
      <c r="E424" s="114">
        <v>38</v>
      </c>
      <c r="F424" s="12"/>
      <c r="G424" s="21">
        <f t="shared" ref="G424:G434" si="34">E424*F424</f>
        <v>0</v>
      </c>
    </row>
    <row r="425" spans="1:7" ht="25.5">
      <c r="A425" s="77" t="s">
        <v>1287</v>
      </c>
      <c r="B425" s="6" t="s">
        <v>625</v>
      </c>
      <c r="C425" s="6" t="s">
        <v>626</v>
      </c>
      <c r="D425" s="77" t="s">
        <v>93</v>
      </c>
      <c r="E425" s="114">
        <v>31</v>
      </c>
      <c r="F425" s="12"/>
      <c r="G425" s="21">
        <f t="shared" si="34"/>
        <v>0</v>
      </c>
    </row>
    <row r="426" spans="1:7" ht="25.5">
      <c r="A426" s="77" t="s">
        <v>1288</v>
      </c>
      <c r="B426" s="6" t="s">
        <v>627</v>
      </c>
      <c r="C426" s="6" t="s">
        <v>628</v>
      </c>
      <c r="D426" s="77" t="s">
        <v>93</v>
      </c>
      <c r="E426" s="114">
        <f>38+31</f>
        <v>69</v>
      </c>
      <c r="F426" s="12"/>
      <c r="G426" s="21">
        <f t="shared" si="34"/>
        <v>0</v>
      </c>
    </row>
    <row r="427" spans="1:7" ht="25.5">
      <c r="A427" s="77" t="s">
        <v>1289</v>
      </c>
      <c r="B427" s="6" t="s">
        <v>629</v>
      </c>
      <c r="C427" s="6" t="s">
        <v>630</v>
      </c>
      <c r="D427" s="77" t="s">
        <v>93</v>
      </c>
      <c r="E427" s="114">
        <f>38+31</f>
        <v>69</v>
      </c>
      <c r="F427" s="12"/>
      <c r="G427" s="21">
        <f t="shared" si="34"/>
        <v>0</v>
      </c>
    </row>
    <row r="428" spans="1:7" ht="15">
      <c r="A428" s="77" t="s">
        <v>1290</v>
      </c>
      <c r="B428" s="6" t="s">
        <v>464</v>
      </c>
      <c r="C428" s="6" t="s">
        <v>631</v>
      </c>
      <c r="D428" s="77" t="s">
        <v>102</v>
      </c>
      <c r="E428" s="114">
        <v>2</v>
      </c>
      <c r="F428" s="12"/>
      <c r="G428" s="21">
        <f t="shared" si="34"/>
        <v>0</v>
      </c>
    </row>
    <row r="429" spans="1:7" ht="15">
      <c r="A429" s="77" t="s">
        <v>1291</v>
      </c>
      <c r="B429" s="6" t="s">
        <v>632</v>
      </c>
      <c r="C429" s="6" t="s">
        <v>633</v>
      </c>
      <c r="D429" s="77" t="s">
        <v>102</v>
      </c>
      <c r="E429" s="114">
        <v>2</v>
      </c>
      <c r="F429" s="12"/>
      <c r="G429" s="21">
        <f t="shared" si="34"/>
        <v>0</v>
      </c>
    </row>
    <row r="430" spans="1:7" ht="15">
      <c r="A430" s="77" t="s">
        <v>1292</v>
      </c>
      <c r="B430" s="6" t="s">
        <v>462</v>
      </c>
      <c r="C430" s="6" t="s">
        <v>463</v>
      </c>
      <c r="D430" s="77" t="s">
        <v>334</v>
      </c>
      <c r="E430" s="114">
        <v>2</v>
      </c>
      <c r="F430" s="12"/>
      <c r="G430" s="21">
        <f t="shared" si="34"/>
        <v>0</v>
      </c>
    </row>
    <row r="431" spans="1:7" ht="15">
      <c r="A431" s="77" t="s">
        <v>1547</v>
      </c>
      <c r="B431" s="6" t="s">
        <v>464</v>
      </c>
      <c r="C431" s="6" t="s">
        <v>465</v>
      </c>
      <c r="D431" s="77" t="s">
        <v>102</v>
      </c>
      <c r="E431" s="114">
        <v>2</v>
      </c>
      <c r="F431" s="12"/>
      <c r="G431" s="21">
        <f t="shared" si="34"/>
        <v>0</v>
      </c>
    </row>
    <row r="432" spans="1:7" ht="25.5">
      <c r="A432" s="77" t="s">
        <v>1548</v>
      </c>
      <c r="B432" s="6" t="s">
        <v>634</v>
      </c>
      <c r="C432" s="6" t="s">
        <v>635</v>
      </c>
      <c r="D432" s="77" t="s">
        <v>93</v>
      </c>
      <c r="E432" s="114">
        <v>38</v>
      </c>
      <c r="F432" s="12"/>
      <c r="G432" s="21">
        <f t="shared" si="34"/>
        <v>0</v>
      </c>
    </row>
    <row r="433" spans="1:7" ht="25.5">
      <c r="A433" s="77" t="s">
        <v>1613</v>
      </c>
      <c r="B433" s="6" t="s">
        <v>634</v>
      </c>
      <c r="C433" s="6" t="s">
        <v>636</v>
      </c>
      <c r="D433" s="77" t="s">
        <v>93</v>
      </c>
      <c r="E433" s="114">
        <v>31</v>
      </c>
      <c r="F433" s="12"/>
      <c r="G433" s="21">
        <f t="shared" si="34"/>
        <v>0</v>
      </c>
    </row>
    <row r="434" spans="1:7" ht="15">
      <c r="A434" s="77" t="s">
        <v>1914</v>
      </c>
      <c r="B434" s="6" t="s">
        <v>579</v>
      </c>
      <c r="C434" s="6" t="s">
        <v>1915</v>
      </c>
      <c r="D434" s="77" t="s">
        <v>334</v>
      </c>
      <c r="E434" s="114">
        <v>1</v>
      </c>
      <c r="F434" s="12"/>
      <c r="G434" s="21">
        <f t="shared" si="34"/>
        <v>0</v>
      </c>
    </row>
    <row r="435" spans="1:7" ht="15">
      <c r="A435" s="61" t="s">
        <v>153</v>
      </c>
      <c r="B435" s="138" t="s">
        <v>502</v>
      </c>
      <c r="C435" s="139"/>
      <c r="D435" s="61"/>
      <c r="E435" s="121"/>
      <c r="F435" s="65"/>
      <c r="G435" s="74">
        <f>SUM(G436:G441)</f>
        <v>0</v>
      </c>
    </row>
    <row r="436" spans="1:7" ht="25.5">
      <c r="A436" s="77" t="s">
        <v>1293</v>
      </c>
      <c r="B436" s="6" t="s">
        <v>503</v>
      </c>
      <c r="C436" s="6" t="s">
        <v>504</v>
      </c>
      <c r="D436" s="77" t="s">
        <v>102</v>
      </c>
      <c r="E436" s="114">
        <v>5</v>
      </c>
      <c r="F436" s="12"/>
      <c r="G436" s="21">
        <f t="shared" ref="G436:G441" si="35">E436*F436</f>
        <v>0</v>
      </c>
    </row>
    <row r="437" spans="1:7" ht="15">
      <c r="A437" s="77" t="s">
        <v>1294</v>
      </c>
      <c r="B437" s="6" t="s">
        <v>535</v>
      </c>
      <c r="C437" s="6" t="s">
        <v>536</v>
      </c>
      <c r="D437" s="77" t="s">
        <v>102</v>
      </c>
      <c r="E437" s="114">
        <v>1</v>
      </c>
      <c r="F437" s="12"/>
      <c r="G437" s="21">
        <f t="shared" si="35"/>
        <v>0</v>
      </c>
    </row>
    <row r="438" spans="1:7" ht="15">
      <c r="A438" s="77" t="s">
        <v>1295</v>
      </c>
      <c r="B438" s="6" t="s">
        <v>507</v>
      </c>
      <c r="C438" s="6" t="s">
        <v>508</v>
      </c>
      <c r="D438" s="77" t="s">
        <v>102</v>
      </c>
      <c r="E438" s="114">
        <v>5</v>
      </c>
      <c r="F438" s="12"/>
      <c r="G438" s="21">
        <f t="shared" si="35"/>
        <v>0</v>
      </c>
    </row>
    <row r="439" spans="1:7" ht="15">
      <c r="A439" s="77" t="s">
        <v>1296</v>
      </c>
      <c r="B439" s="6" t="s">
        <v>537</v>
      </c>
      <c r="C439" s="6" t="s">
        <v>538</v>
      </c>
      <c r="D439" s="77" t="s">
        <v>102</v>
      </c>
      <c r="E439" s="114">
        <v>1</v>
      </c>
      <c r="F439" s="12"/>
      <c r="G439" s="21">
        <f t="shared" si="35"/>
        <v>0</v>
      </c>
    </row>
    <row r="440" spans="1:7" ht="25.5">
      <c r="A440" s="77" t="s">
        <v>1297</v>
      </c>
      <c r="B440" s="6" t="s">
        <v>618</v>
      </c>
      <c r="C440" s="6" t="s">
        <v>619</v>
      </c>
      <c r="D440" s="77" t="s">
        <v>93</v>
      </c>
      <c r="E440" s="114">
        <v>4</v>
      </c>
      <c r="F440" s="12"/>
      <c r="G440" s="21">
        <f t="shared" si="35"/>
        <v>0</v>
      </c>
    </row>
    <row r="441" spans="1:7" ht="25.5">
      <c r="A441" s="77" t="s">
        <v>1298</v>
      </c>
      <c r="B441" s="6" t="s">
        <v>620</v>
      </c>
      <c r="C441" s="6" t="s">
        <v>621</v>
      </c>
      <c r="D441" s="77" t="s">
        <v>93</v>
      </c>
      <c r="E441" s="114">
        <v>4</v>
      </c>
      <c r="F441" s="12"/>
      <c r="G441" s="21">
        <f t="shared" si="35"/>
        <v>0</v>
      </c>
    </row>
    <row r="442" spans="1:7" ht="15">
      <c r="A442" s="37">
        <v>4</v>
      </c>
      <c r="B442" s="148" t="s">
        <v>637</v>
      </c>
      <c r="C442" s="149"/>
      <c r="D442" s="37"/>
      <c r="E442" s="123"/>
      <c r="F442" s="39"/>
      <c r="G442" s="40">
        <f>SUM(G443,G474)</f>
        <v>0</v>
      </c>
    </row>
    <row r="443" spans="1:7" ht="15">
      <c r="A443" s="61" t="s">
        <v>191</v>
      </c>
      <c r="B443" s="138" t="s">
        <v>399</v>
      </c>
      <c r="C443" s="139"/>
      <c r="D443" s="61"/>
      <c r="E443" s="121"/>
      <c r="F443" s="65"/>
      <c r="G443" s="74">
        <f>SUM(G444:G473)</f>
        <v>0</v>
      </c>
    </row>
    <row r="444" spans="1:7" ht="15">
      <c r="A444" s="77" t="s">
        <v>1324</v>
      </c>
      <c r="B444" s="6" t="s">
        <v>638</v>
      </c>
      <c r="C444" s="6" t="s">
        <v>639</v>
      </c>
      <c r="D444" s="77" t="s">
        <v>102</v>
      </c>
      <c r="E444" s="114">
        <f>8+6</f>
        <v>14</v>
      </c>
      <c r="F444" s="12"/>
      <c r="G444" s="21">
        <f t="shared" ref="G444:G473" si="36">E444*F444</f>
        <v>0</v>
      </c>
    </row>
    <row r="445" spans="1:7" ht="25.5">
      <c r="A445" s="77" t="s">
        <v>1325</v>
      </c>
      <c r="B445" s="6" t="s">
        <v>640</v>
      </c>
      <c r="C445" s="6" t="s">
        <v>641</v>
      </c>
      <c r="D445" s="77" t="s">
        <v>102</v>
      </c>
      <c r="E445" s="114">
        <f>12+4</f>
        <v>16</v>
      </c>
      <c r="F445" s="12"/>
      <c r="G445" s="21">
        <f t="shared" si="36"/>
        <v>0</v>
      </c>
    </row>
    <row r="446" spans="1:7" ht="15">
      <c r="A446" s="77" t="s">
        <v>1326</v>
      </c>
      <c r="B446" s="6" t="s">
        <v>1673</v>
      </c>
      <c r="C446" s="6" t="s">
        <v>2115</v>
      </c>
      <c r="D446" s="77" t="s">
        <v>102</v>
      </c>
      <c r="E446" s="114">
        <v>16</v>
      </c>
      <c r="F446" s="12"/>
      <c r="G446" s="21"/>
    </row>
    <row r="447" spans="1:7" ht="15">
      <c r="A447" s="77" t="s">
        <v>1327</v>
      </c>
      <c r="B447" s="6" t="s">
        <v>1673</v>
      </c>
      <c r="C447" s="6" t="s">
        <v>2116</v>
      </c>
      <c r="D447" s="77" t="s">
        <v>102</v>
      </c>
      <c r="E447" s="114">
        <v>2</v>
      </c>
      <c r="F447" s="12"/>
      <c r="G447" s="21"/>
    </row>
    <row r="448" spans="1:7" ht="15">
      <c r="A448" s="77" t="s">
        <v>1328</v>
      </c>
      <c r="B448" s="6" t="s">
        <v>642</v>
      </c>
      <c r="C448" s="6" t="s">
        <v>643</v>
      </c>
      <c r="D448" s="77" t="s">
        <v>102</v>
      </c>
      <c r="E448" s="114">
        <v>2</v>
      </c>
      <c r="F448" s="12"/>
      <c r="G448" s="21">
        <f t="shared" si="36"/>
        <v>0</v>
      </c>
    </row>
    <row r="449" spans="1:7" ht="15">
      <c r="A449" s="77" t="s">
        <v>1329</v>
      </c>
      <c r="B449" s="6" t="s">
        <v>642</v>
      </c>
      <c r="C449" s="6" t="s">
        <v>644</v>
      </c>
      <c r="D449" s="77" t="s">
        <v>102</v>
      </c>
      <c r="E449" s="114">
        <v>2</v>
      </c>
      <c r="F449" s="12"/>
      <c r="G449" s="21">
        <f t="shared" si="36"/>
        <v>0</v>
      </c>
    </row>
    <row r="450" spans="1:7" ht="76.5">
      <c r="A450" s="77" t="s">
        <v>1330</v>
      </c>
      <c r="B450" s="6" t="s">
        <v>645</v>
      </c>
      <c r="C450" s="17" t="s">
        <v>646</v>
      </c>
      <c r="D450" s="77" t="s">
        <v>102</v>
      </c>
      <c r="E450" s="114">
        <v>2</v>
      </c>
      <c r="F450" s="12"/>
      <c r="G450" s="21">
        <f t="shared" si="36"/>
        <v>0</v>
      </c>
    </row>
    <row r="451" spans="1:7" ht="38.25">
      <c r="A451" s="77" t="s">
        <v>1331</v>
      </c>
      <c r="B451" s="6" t="s">
        <v>1673</v>
      </c>
      <c r="C451" s="17" t="s">
        <v>1923</v>
      </c>
      <c r="D451" s="77" t="s">
        <v>162</v>
      </c>
      <c r="E451" s="114">
        <v>2</v>
      </c>
      <c r="F451" s="12"/>
      <c r="G451" s="21">
        <f t="shared" si="36"/>
        <v>0</v>
      </c>
    </row>
    <row r="452" spans="1:7" ht="25.5">
      <c r="A452" s="77" t="s">
        <v>1332</v>
      </c>
      <c r="B452" s="6" t="s">
        <v>647</v>
      </c>
      <c r="C452" s="6" t="s">
        <v>648</v>
      </c>
      <c r="D452" s="77" t="s">
        <v>649</v>
      </c>
      <c r="E452" s="114">
        <v>53</v>
      </c>
      <c r="F452" s="12"/>
      <c r="G452" s="21">
        <f t="shared" si="36"/>
        <v>0</v>
      </c>
    </row>
    <row r="453" spans="1:7" ht="25.5">
      <c r="A453" s="77" t="s">
        <v>1333</v>
      </c>
      <c r="B453" s="6" t="s">
        <v>650</v>
      </c>
      <c r="C453" s="6" t="s">
        <v>651</v>
      </c>
      <c r="D453" s="77" t="s">
        <v>102</v>
      </c>
      <c r="E453" s="114">
        <f>2+1</f>
        <v>3</v>
      </c>
      <c r="F453" s="12"/>
      <c r="G453" s="21">
        <f t="shared" si="36"/>
        <v>0</v>
      </c>
    </row>
    <row r="454" spans="1:7" ht="25.5">
      <c r="A454" s="77" t="s">
        <v>1334</v>
      </c>
      <c r="B454" s="6" t="s">
        <v>650</v>
      </c>
      <c r="C454" s="6" t="s">
        <v>652</v>
      </c>
      <c r="D454" s="77" t="s">
        <v>102</v>
      </c>
      <c r="E454" s="114">
        <f>2+1</f>
        <v>3</v>
      </c>
      <c r="F454" s="12"/>
      <c r="G454" s="21">
        <f t="shared" si="36"/>
        <v>0</v>
      </c>
    </row>
    <row r="455" spans="1:7" ht="25.5">
      <c r="A455" s="77" t="s">
        <v>1335</v>
      </c>
      <c r="B455" s="6" t="s">
        <v>653</v>
      </c>
      <c r="C455" s="6" t="s">
        <v>654</v>
      </c>
      <c r="D455" s="77" t="s">
        <v>20</v>
      </c>
      <c r="E455" s="114">
        <f>2*3.14*(0.1/2)*3*2</f>
        <v>1.8840000000000003</v>
      </c>
      <c r="F455" s="12"/>
      <c r="G455" s="21">
        <f t="shared" si="36"/>
        <v>0</v>
      </c>
    </row>
    <row r="456" spans="1:7" ht="25.5">
      <c r="A456" s="77" t="s">
        <v>1614</v>
      </c>
      <c r="B456" s="6" t="s">
        <v>655</v>
      </c>
      <c r="C456" s="6" t="s">
        <v>656</v>
      </c>
      <c r="D456" s="77" t="s">
        <v>20</v>
      </c>
      <c r="E456" s="114">
        <f>2*3.14*(0.125/2)*3*4</f>
        <v>4.71</v>
      </c>
      <c r="F456" s="12"/>
      <c r="G456" s="21">
        <f t="shared" si="36"/>
        <v>0</v>
      </c>
    </row>
    <row r="457" spans="1:7" ht="25.5">
      <c r="A457" s="77" t="s">
        <v>1615</v>
      </c>
      <c r="B457" s="6" t="s">
        <v>655</v>
      </c>
      <c r="C457" s="6" t="s">
        <v>657</v>
      </c>
      <c r="D457" s="77" t="s">
        <v>20</v>
      </c>
      <c r="E457" s="114">
        <f>2*3.14*(0.16/2)*3*4</f>
        <v>6.0288000000000004</v>
      </c>
      <c r="F457" s="12"/>
      <c r="G457" s="21">
        <f t="shared" si="36"/>
        <v>0</v>
      </c>
    </row>
    <row r="458" spans="1:7" ht="25.5">
      <c r="A458" s="77" t="s">
        <v>1616</v>
      </c>
      <c r="B458" s="6" t="s">
        <v>655</v>
      </c>
      <c r="C458" s="6" t="s">
        <v>658</v>
      </c>
      <c r="D458" s="77" t="s">
        <v>20</v>
      </c>
      <c r="E458" s="114">
        <f>2*3.14*(0.2/2)*3*5</f>
        <v>9.4200000000000017</v>
      </c>
      <c r="F458" s="12"/>
      <c r="G458" s="21">
        <f t="shared" si="36"/>
        <v>0</v>
      </c>
    </row>
    <row r="459" spans="1:7" ht="25.5">
      <c r="A459" s="77" t="s">
        <v>1617</v>
      </c>
      <c r="B459" s="6" t="s">
        <v>659</v>
      </c>
      <c r="C459" s="6" t="s">
        <v>660</v>
      </c>
      <c r="D459" s="77" t="s">
        <v>20</v>
      </c>
      <c r="E459" s="114">
        <f>2*3.14*(0.25/2)*3*8</f>
        <v>18.84</v>
      </c>
      <c r="F459" s="12"/>
      <c r="G459" s="21">
        <f t="shared" si="36"/>
        <v>0</v>
      </c>
    </row>
    <row r="460" spans="1:7" ht="25.5">
      <c r="A460" s="77" t="s">
        <v>1618</v>
      </c>
      <c r="B460" s="6" t="s">
        <v>659</v>
      </c>
      <c r="C460" s="6" t="s">
        <v>661</v>
      </c>
      <c r="D460" s="77" t="s">
        <v>20</v>
      </c>
      <c r="E460" s="114">
        <f>2*3.14*(0.315/2)*3*3</f>
        <v>8.9019000000000013</v>
      </c>
      <c r="F460" s="12"/>
      <c r="G460" s="21">
        <f t="shared" si="36"/>
        <v>0</v>
      </c>
    </row>
    <row r="461" spans="1:7" ht="15">
      <c r="A461" s="77" t="s">
        <v>1692</v>
      </c>
      <c r="B461" s="6" t="s">
        <v>1673</v>
      </c>
      <c r="C461" s="6" t="s">
        <v>2114</v>
      </c>
      <c r="D461" s="77" t="s">
        <v>20</v>
      </c>
      <c r="E461" s="114">
        <f>0.11*2+0.15*2+0.09+0.44*3+0.44</f>
        <v>2.37</v>
      </c>
      <c r="F461" s="12"/>
      <c r="G461" s="21"/>
    </row>
    <row r="462" spans="1:7" ht="25.5">
      <c r="A462" s="77" t="s">
        <v>1693</v>
      </c>
      <c r="B462" s="6" t="s">
        <v>662</v>
      </c>
      <c r="C462" s="6" t="s">
        <v>663</v>
      </c>
      <c r="D462" s="77" t="s">
        <v>102</v>
      </c>
      <c r="E462" s="114">
        <v>4</v>
      </c>
      <c r="F462" s="12"/>
      <c r="G462" s="21">
        <f t="shared" si="36"/>
        <v>0</v>
      </c>
    </row>
    <row r="463" spans="1:7" ht="25.5">
      <c r="A463" s="77" t="s">
        <v>1694</v>
      </c>
      <c r="B463" s="6" t="s">
        <v>662</v>
      </c>
      <c r="C463" s="6" t="s">
        <v>664</v>
      </c>
      <c r="D463" s="77" t="s">
        <v>102</v>
      </c>
      <c r="E463" s="114">
        <v>2</v>
      </c>
      <c r="F463" s="12"/>
      <c r="G463" s="21">
        <f t="shared" si="36"/>
        <v>0</v>
      </c>
    </row>
    <row r="464" spans="1:7" ht="25.5">
      <c r="A464" s="77" t="s">
        <v>1695</v>
      </c>
      <c r="B464" s="6" t="s">
        <v>665</v>
      </c>
      <c r="C464" s="6" t="s">
        <v>666</v>
      </c>
      <c r="D464" s="77" t="s">
        <v>20</v>
      </c>
      <c r="E464" s="114">
        <v>0.53</v>
      </c>
      <c r="F464" s="12"/>
      <c r="G464" s="21">
        <f t="shared" si="36"/>
        <v>0</v>
      </c>
    </row>
    <row r="465" spans="1:7" ht="25.5">
      <c r="A465" s="77" t="s">
        <v>1696</v>
      </c>
      <c r="B465" s="6" t="s">
        <v>667</v>
      </c>
      <c r="C465" s="6" t="s">
        <v>668</v>
      </c>
      <c r="D465" s="77" t="s">
        <v>20</v>
      </c>
      <c r="E465" s="114">
        <v>3.81</v>
      </c>
      <c r="F465" s="12"/>
      <c r="G465" s="21">
        <f t="shared" si="36"/>
        <v>0</v>
      </c>
    </row>
    <row r="466" spans="1:7" ht="25.5">
      <c r="A466" s="77" t="s">
        <v>1697</v>
      </c>
      <c r="B466" s="6" t="s">
        <v>669</v>
      </c>
      <c r="C466" s="6" t="s">
        <v>670</v>
      </c>
      <c r="D466" s="77" t="s">
        <v>102</v>
      </c>
      <c r="E466" s="114">
        <v>10</v>
      </c>
      <c r="F466" s="12"/>
      <c r="G466" s="21">
        <f t="shared" si="36"/>
        <v>0</v>
      </c>
    </row>
    <row r="467" spans="1:7" ht="38.25">
      <c r="A467" s="77" t="s">
        <v>1698</v>
      </c>
      <c r="B467" s="6" t="s">
        <v>671</v>
      </c>
      <c r="C467" s="6" t="s">
        <v>1570</v>
      </c>
      <c r="D467" s="77" t="s">
        <v>102</v>
      </c>
      <c r="E467" s="114">
        <v>1</v>
      </c>
      <c r="F467" s="12"/>
      <c r="G467" s="21">
        <f t="shared" si="36"/>
        <v>0</v>
      </c>
    </row>
    <row r="468" spans="1:7" ht="38.25">
      <c r="A468" s="77" t="s">
        <v>1699</v>
      </c>
      <c r="B468" s="6" t="s">
        <v>671</v>
      </c>
      <c r="C468" s="6" t="s">
        <v>1571</v>
      </c>
      <c r="D468" s="77" t="s">
        <v>102</v>
      </c>
      <c r="E468" s="114">
        <v>1</v>
      </c>
      <c r="F468" s="12"/>
      <c r="G468" s="21">
        <f t="shared" si="36"/>
        <v>0</v>
      </c>
    </row>
    <row r="469" spans="1:7" ht="38.25">
      <c r="A469" s="77" t="s">
        <v>1700</v>
      </c>
      <c r="B469" s="6" t="s">
        <v>671</v>
      </c>
      <c r="C469" s="6" t="s">
        <v>1572</v>
      </c>
      <c r="D469" s="77" t="s">
        <v>102</v>
      </c>
      <c r="E469" s="114">
        <v>1</v>
      </c>
      <c r="F469" s="12"/>
      <c r="G469" s="21">
        <f t="shared" si="36"/>
        <v>0</v>
      </c>
    </row>
    <row r="470" spans="1:7" ht="38.25">
      <c r="A470" s="77" t="s">
        <v>1924</v>
      </c>
      <c r="B470" s="6" t="s">
        <v>671</v>
      </c>
      <c r="C470" s="6" t="s">
        <v>1573</v>
      </c>
      <c r="D470" s="77" t="s">
        <v>102</v>
      </c>
      <c r="E470" s="114">
        <v>1</v>
      </c>
      <c r="F470" s="12"/>
      <c r="G470" s="21">
        <f t="shared" si="36"/>
        <v>0</v>
      </c>
    </row>
    <row r="471" spans="1:7" ht="25.5">
      <c r="A471" s="77" t="s">
        <v>2117</v>
      </c>
      <c r="B471" s="6" t="s">
        <v>653</v>
      </c>
      <c r="C471" s="6" t="s">
        <v>654</v>
      </c>
      <c r="D471" s="77" t="s">
        <v>20</v>
      </c>
      <c r="E471" s="114">
        <f>2*3.14*(0.1/2)*13</f>
        <v>4.0820000000000007</v>
      </c>
      <c r="F471" s="12"/>
      <c r="G471" s="21">
        <f t="shared" si="36"/>
        <v>0</v>
      </c>
    </row>
    <row r="472" spans="1:7" ht="25.5">
      <c r="A472" s="77" t="s">
        <v>2118</v>
      </c>
      <c r="B472" s="6" t="s">
        <v>655</v>
      </c>
      <c r="C472" s="6" t="s">
        <v>656</v>
      </c>
      <c r="D472" s="77" t="s">
        <v>20</v>
      </c>
      <c r="E472" s="114">
        <f>2*3.14*(0.125/2)*2</f>
        <v>0.78500000000000003</v>
      </c>
      <c r="F472" s="12"/>
      <c r="G472" s="21">
        <f t="shared" si="36"/>
        <v>0</v>
      </c>
    </row>
    <row r="473" spans="1:7" ht="38.25">
      <c r="A473" s="77" t="s">
        <v>2119</v>
      </c>
      <c r="B473" s="6" t="s">
        <v>647</v>
      </c>
      <c r="C473" s="6" t="s">
        <v>648</v>
      </c>
      <c r="D473" s="7" t="s">
        <v>649</v>
      </c>
      <c r="E473" s="114">
        <f>4.082+0.785</f>
        <v>4.867</v>
      </c>
      <c r="F473" s="12"/>
      <c r="G473" s="21">
        <f t="shared" si="36"/>
        <v>0</v>
      </c>
    </row>
    <row r="474" spans="1:7" ht="15">
      <c r="A474" s="61" t="s">
        <v>204</v>
      </c>
      <c r="B474" s="138" t="s">
        <v>502</v>
      </c>
      <c r="C474" s="139"/>
      <c r="D474" s="61"/>
      <c r="E474" s="121"/>
      <c r="F474" s="65"/>
      <c r="G474" s="74">
        <f>SUM(G475:G478)</f>
        <v>0</v>
      </c>
    </row>
    <row r="475" spans="1:7" ht="38.25">
      <c r="A475" s="77" t="s">
        <v>1336</v>
      </c>
      <c r="B475" s="6" t="s">
        <v>672</v>
      </c>
      <c r="C475" s="6" t="s">
        <v>673</v>
      </c>
      <c r="D475" s="77" t="s">
        <v>515</v>
      </c>
      <c r="E475" s="114">
        <v>19</v>
      </c>
      <c r="F475" s="12"/>
      <c r="G475" s="21">
        <f>E475*F475</f>
        <v>0</v>
      </c>
    </row>
    <row r="476" spans="1:7" ht="38.25">
      <c r="A476" s="77" t="s">
        <v>1337</v>
      </c>
      <c r="B476" s="6" t="s">
        <v>513</v>
      </c>
      <c r="C476" s="6" t="s">
        <v>514</v>
      </c>
      <c r="D476" s="77" t="s">
        <v>515</v>
      </c>
      <c r="E476" s="114">
        <v>4</v>
      </c>
      <c r="F476" s="12"/>
      <c r="G476" s="21">
        <f t="shared" ref="G476:G478" si="37">E476*F476</f>
        <v>0</v>
      </c>
    </row>
    <row r="477" spans="1:7" ht="25.5">
      <c r="A477" s="77" t="s">
        <v>1338</v>
      </c>
      <c r="B477" s="6" t="s">
        <v>220</v>
      </c>
      <c r="C477" s="6" t="s">
        <v>674</v>
      </c>
      <c r="D477" s="77" t="s">
        <v>20</v>
      </c>
      <c r="E477" s="114">
        <f>12+10.5+16+7</f>
        <v>45.5</v>
      </c>
      <c r="F477" s="12"/>
      <c r="G477" s="21">
        <f t="shared" si="37"/>
        <v>0</v>
      </c>
    </row>
    <row r="478" spans="1:7" ht="25.5">
      <c r="A478" s="77" t="s">
        <v>1339</v>
      </c>
      <c r="B478" s="6" t="s">
        <v>675</v>
      </c>
      <c r="C478" s="6" t="s">
        <v>676</v>
      </c>
      <c r="D478" s="77" t="s">
        <v>20</v>
      </c>
      <c r="E478" s="114">
        <f>12+10.5+16+7</f>
        <v>45.5</v>
      </c>
      <c r="F478" s="12"/>
      <c r="G478" s="21">
        <f t="shared" si="37"/>
        <v>0</v>
      </c>
    </row>
    <row r="479" spans="1:7" ht="15">
      <c r="A479" s="37">
        <v>5</v>
      </c>
      <c r="B479" s="148" t="s">
        <v>677</v>
      </c>
      <c r="C479" s="149"/>
      <c r="D479" s="37"/>
      <c r="E479" s="123"/>
      <c r="F479" s="39"/>
      <c r="G479" s="40">
        <f>SUM(G480,G490,G574)</f>
        <v>0</v>
      </c>
    </row>
    <row r="480" spans="1:7" ht="15">
      <c r="A480" s="61" t="s">
        <v>214</v>
      </c>
      <c r="B480" s="138" t="s">
        <v>397</v>
      </c>
      <c r="C480" s="139"/>
      <c r="D480" s="61"/>
      <c r="E480" s="121"/>
      <c r="F480" s="65"/>
      <c r="G480" s="74">
        <f>SUM(G481:G489)</f>
        <v>0</v>
      </c>
    </row>
    <row r="481" spans="1:7" ht="15">
      <c r="A481" s="77" t="s">
        <v>1366</v>
      </c>
      <c r="B481" s="6" t="s">
        <v>678</v>
      </c>
      <c r="C481" s="6" t="s">
        <v>1676</v>
      </c>
      <c r="D481" s="77" t="s">
        <v>93</v>
      </c>
      <c r="E481" s="114">
        <f>74+195+178</f>
        <v>447</v>
      </c>
      <c r="F481" s="12"/>
      <c r="G481" s="21">
        <f>E481*F481</f>
        <v>0</v>
      </c>
    </row>
    <row r="482" spans="1:7" ht="15">
      <c r="A482" s="77" t="s">
        <v>1367</v>
      </c>
      <c r="B482" s="6" t="s">
        <v>1680</v>
      </c>
      <c r="C482" s="6" t="s">
        <v>1677</v>
      </c>
      <c r="D482" s="77" t="s">
        <v>162</v>
      </c>
      <c r="E482" s="114">
        <v>10</v>
      </c>
      <c r="F482" s="12"/>
      <c r="G482" s="21">
        <f t="shared" ref="G482:G489" si="38">E482*F482</f>
        <v>0</v>
      </c>
    </row>
    <row r="483" spans="1:7" ht="25.5">
      <c r="A483" s="77" t="s">
        <v>1368</v>
      </c>
      <c r="B483" s="6" t="s">
        <v>1679</v>
      </c>
      <c r="C483" s="6" t="s">
        <v>1678</v>
      </c>
      <c r="D483" s="77" t="s">
        <v>93</v>
      </c>
      <c r="E483" s="114">
        <f>44+99+50</f>
        <v>193</v>
      </c>
      <c r="F483" s="12"/>
      <c r="G483" s="21">
        <f t="shared" si="38"/>
        <v>0</v>
      </c>
    </row>
    <row r="484" spans="1:7" ht="15">
      <c r="A484" s="77" t="s">
        <v>1369</v>
      </c>
      <c r="B484" s="6" t="s">
        <v>679</v>
      </c>
      <c r="C484" s="6" t="s">
        <v>680</v>
      </c>
      <c r="D484" s="77" t="s">
        <v>162</v>
      </c>
      <c r="E484" s="114">
        <v>8</v>
      </c>
      <c r="F484" s="12"/>
      <c r="G484" s="21">
        <f t="shared" si="38"/>
        <v>0</v>
      </c>
    </row>
    <row r="485" spans="1:7" ht="15">
      <c r="A485" s="77" t="s">
        <v>1370</v>
      </c>
      <c r="B485" s="6" t="s">
        <v>681</v>
      </c>
      <c r="C485" s="6" t="s">
        <v>682</v>
      </c>
      <c r="D485" s="77" t="s">
        <v>162</v>
      </c>
      <c r="E485" s="114">
        <v>8</v>
      </c>
      <c r="F485" s="12"/>
      <c r="G485" s="21">
        <f t="shared" si="38"/>
        <v>0</v>
      </c>
    </row>
    <row r="486" spans="1:7" ht="15">
      <c r="A486" s="77" t="s">
        <v>1371</v>
      </c>
      <c r="B486" s="6" t="s">
        <v>683</v>
      </c>
      <c r="C486" s="6" t="s">
        <v>684</v>
      </c>
      <c r="D486" s="77" t="s">
        <v>162</v>
      </c>
      <c r="E486" s="114">
        <v>8</v>
      </c>
      <c r="F486" s="12"/>
      <c r="G486" s="21">
        <f t="shared" si="38"/>
        <v>0</v>
      </c>
    </row>
    <row r="487" spans="1:7" ht="25.5">
      <c r="A487" s="77" t="s">
        <v>1372</v>
      </c>
      <c r="B487" s="6" t="s">
        <v>550</v>
      </c>
      <c r="C487" s="6" t="s">
        <v>551</v>
      </c>
      <c r="D487" s="77" t="s">
        <v>7</v>
      </c>
      <c r="E487" s="114">
        <v>6</v>
      </c>
      <c r="F487" s="12"/>
      <c r="G487" s="21">
        <f t="shared" si="38"/>
        <v>0</v>
      </c>
    </row>
    <row r="488" spans="1:7" ht="25.5">
      <c r="A488" s="77" t="s">
        <v>1373</v>
      </c>
      <c r="B488" s="6" t="s">
        <v>552</v>
      </c>
      <c r="C488" s="6" t="s">
        <v>553</v>
      </c>
      <c r="D488" s="77" t="s">
        <v>7</v>
      </c>
      <c r="E488" s="114">
        <v>6</v>
      </c>
      <c r="F488" s="12"/>
      <c r="G488" s="21">
        <f t="shared" si="38"/>
        <v>0</v>
      </c>
    </row>
    <row r="489" spans="1:7" ht="15">
      <c r="A489" s="77" t="s">
        <v>1374</v>
      </c>
      <c r="B489" s="6" t="s">
        <v>72</v>
      </c>
      <c r="C489" s="6" t="s">
        <v>1681</v>
      </c>
      <c r="D489" s="77" t="s">
        <v>7</v>
      </c>
      <c r="E489" s="114">
        <v>6</v>
      </c>
      <c r="F489" s="12"/>
      <c r="G489" s="21">
        <f t="shared" si="38"/>
        <v>0</v>
      </c>
    </row>
    <row r="490" spans="1:7" ht="15">
      <c r="A490" s="61" t="s">
        <v>215</v>
      </c>
      <c r="B490" s="138" t="s">
        <v>399</v>
      </c>
      <c r="C490" s="139"/>
      <c r="D490" s="61"/>
      <c r="E490" s="121"/>
      <c r="F490" s="65"/>
      <c r="G490" s="74">
        <f>SUM(G491:G573)</f>
        <v>0</v>
      </c>
    </row>
    <row r="491" spans="1:7" ht="15">
      <c r="A491" s="77" t="s">
        <v>1376</v>
      </c>
      <c r="B491" s="6" t="s">
        <v>690</v>
      </c>
      <c r="C491" s="6" t="s">
        <v>691</v>
      </c>
      <c r="D491" s="77" t="s">
        <v>93</v>
      </c>
      <c r="E491" s="114">
        <v>39</v>
      </c>
      <c r="F491" s="12"/>
      <c r="G491" s="21">
        <f t="shared" ref="G491:G554" si="39">E491*F491</f>
        <v>0</v>
      </c>
    </row>
    <row r="492" spans="1:7" ht="15">
      <c r="A492" s="77" t="s">
        <v>1377</v>
      </c>
      <c r="B492" s="6" t="s">
        <v>484</v>
      </c>
      <c r="C492" s="6" t="s">
        <v>692</v>
      </c>
      <c r="D492" s="77" t="s">
        <v>93</v>
      </c>
      <c r="E492" s="114">
        <v>55</v>
      </c>
      <c r="F492" s="12"/>
      <c r="G492" s="21">
        <f t="shared" si="39"/>
        <v>0</v>
      </c>
    </row>
    <row r="493" spans="1:7" ht="15">
      <c r="A493" s="77" t="s">
        <v>1378</v>
      </c>
      <c r="B493" s="6" t="s">
        <v>693</v>
      </c>
      <c r="C493" s="6" t="s">
        <v>694</v>
      </c>
      <c r="D493" s="77" t="s">
        <v>93</v>
      </c>
      <c r="E493" s="114">
        <v>60</v>
      </c>
      <c r="F493" s="12"/>
      <c r="G493" s="21">
        <f t="shared" si="39"/>
        <v>0</v>
      </c>
    </row>
    <row r="494" spans="1:7" ht="15">
      <c r="A494" s="77" t="s">
        <v>1379</v>
      </c>
      <c r="B494" s="6" t="s">
        <v>695</v>
      </c>
      <c r="C494" s="6" t="s">
        <v>696</v>
      </c>
      <c r="D494" s="77" t="s">
        <v>93</v>
      </c>
      <c r="E494" s="114">
        <v>8</v>
      </c>
      <c r="F494" s="12"/>
      <c r="G494" s="21">
        <f t="shared" si="39"/>
        <v>0</v>
      </c>
    </row>
    <row r="495" spans="1:7" ht="15">
      <c r="A495" s="77" t="s">
        <v>1380</v>
      </c>
      <c r="B495" s="6" t="s">
        <v>686</v>
      </c>
      <c r="C495" s="6" t="s">
        <v>697</v>
      </c>
      <c r="D495" s="77" t="s">
        <v>93</v>
      </c>
      <c r="E495" s="114">
        <v>195</v>
      </c>
      <c r="F495" s="12"/>
      <c r="G495" s="21">
        <f t="shared" si="39"/>
        <v>0</v>
      </c>
    </row>
    <row r="496" spans="1:7" ht="15">
      <c r="A496" s="77" t="s">
        <v>1381</v>
      </c>
      <c r="B496" s="6" t="s">
        <v>688</v>
      </c>
      <c r="C496" s="6" t="s">
        <v>698</v>
      </c>
      <c r="D496" s="77" t="s">
        <v>93</v>
      </c>
      <c r="E496" s="114">
        <v>87</v>
      </c>
      <c r="F496" s="12"/>
      <c r="G496" s="21">
        <f t="shared" si="39"/>
        <v>0</v>
      </c>
    </row>
    <row r="497" spans="1:7" ht="15">
      <c r="A497" s="77" t="s">
        <v>1382</v>
      </c>
      <c r="B497" s="6" t="s">
        <v>690</v>
      </c>
      <c r="C497" s="6" t="s">
        <v>699</v>
      </c>
      <c r="D497" s="77" t="s">
        <v>93</v>
      </c>
      <c r="E497" s="114">
        <v>31</v>
      </c>
      <c r="F497" s="12"/>
      <c r="G497" s="21">
        <f t="shared" si="39"/>
        <v>0</v>
      </c>
    </row>
    <row r="498" spans="1:7" ht="15">
      <c r="A498" s="77" t="s">
        <v>1383</v>
      </c>
      <c r="B498" s="6" t="s">
        <v>484</v>
      </c>
      <c r="C498" s="6" t="s">
        <v>485</v>
      </c>
      <c r="D498" s="77" t="s">
        <v>93</v>
      </c>
      <c r="E498" s="114">
        <v>9</v>
      </c>
      <c r="F498" s="12"/>
      <c r="G498" s="21">
        <f t="shared" si="39"/>
        <v>0</v>
      </c>
    </row>
    <row r="499" spans="1:7" ht="15">
      <c r="A499" s="77" t="s">
        <v>1384</v>
      </c>
      <c r="B499" s="6" t="s">
        <v>693</v>
      </c>
      <c r="C499" s="6" t="s">
        <v>700</v>
      </c>
      <c r="D499" s="77" t="s">
        <v>93</v>
      </c>
      <c r="E499" s="114">
        <v>2</v>
      </c>
      <c r="F499" s="12"/>
      <c r="G499" s="21">
        <f t="shared" si="39"/>
        <v>0</v>
      </c>
    </row>
    <row r="500" spans="1:7" ht="15">
      <c r="A500" s="77" t="s">
        <v>1385</v>
      </c>
      <c r="B500" s="6" t="s">
        <v>486</v>
      </c>
      <c r="C500" s="6" t="s">
        <v>487</v>
      </c>
      <c r="D500" s="77" t="s">
        <v>93</v>
      </c>
      <c r="E500" s="114">
        <f>74+21+39+55+60+8+195+87+31+9+2-95</f>
        <v>486</v>
      </c>
      <c r="F500" s="12"/>
      <c r="G500" s="21">
        <f t="shared" si="39"/>
        <v>0</v>
      </c>
    </row>
    <row r="501" spans="1:7" ht="25.5">
      <c r="A501" s="77" t="s">
        <v>1386</v>
      </c>
      <c r="B501" s="6" t="s">
        <v>488</v>
      </c>
      <c r="C501" s="6" t="s">
        <v>489</v>
      </c>
      <c r="D501" s="77" t="s">
        <v>490</v>
      </c>
      <c r="E501" s="114">
        <v>1</v>
      </c>
      <c r="F501" s="12"/>
      <c r="G501" s="21">
        <f t="shared" si="39"/>
        <v>0</v>
      </c>
    </row>
    <row r="502" spans="1:7" ht="25.5">
      <c r="A502" s="77" t="s">
        <v>1387</v>
      </c>
      <c r="B502" s="6" t="s">
        <v>493</v>
      </c>
      <c r="C502" s="6" t="s">
        <v>494</v>
      </c>
      <c r="D502" s="77" t="s">
        <v>93</v>
      </c>
      <c r="E502" s="114">
        <f>E500</f>
        <v>486</v>
      </c>
      <c r="F502" s="12"/>
      <c r="G502" s="21">
        <f t="shared" si="39"/>
        <v>0</v>
      </c>
    </row>
    <row r="503" spans="1:7" ht="38.25">
      <c r="A503" s="77" t="s">
        <v>1701</v>
      </c>
      <c r="B503" s="6" t="s">
        <v>701</v>
      </c>
      <c r="C503" s="6" t="s">
        <v>702</v>
      </c>
      <c r="D503" s="77" t="s">
        <v>93</v>
      </c>
      <c r="E503" s="114">
        <v>8</v>
      </c>
      <c r="F503" s="12"/>
      <c r="G503" s="21">
        <f t="shared" si="39"/>
        <v>0</v>
      </c>
    </row>
    <row r="504" spans="1:7" ht="38.25">
      <c r="A504" s="77" t="s">
        <v>1702</v>
      </c>
      <c r="B504" s="6" t="s">
        <v>703</v>
      </c>
      <c r="C504" s="6" t="s">
        <v>704</v>
      </c>
      <c r="D504" s="77" t="s">
        <v>93</v>
      </c>
      <c r="E504" s="114">
        <v>36</v>
      </c>
      <c r="F504" s="12"/>
      <c r="G504" s="21">
        <f t="shared" si="39"/>
        <v>0</v>
      </c>
    </row>
    <row r="505" spans="1:7" ht="15">
      <c r="A505" s="77" t="s">
        <v>1703</v>
      </c>
      <c r="B505" s="6" t="s">
        <v>486</v>
      </c>
      <c r="C505" s="6" t="s">
        <v>487</v>
      </c>
      <c r="D505" s="77" t="s">
        <v>93</v>
      </c>
      <c r="E505" s="114">
        <f>8+36</f>
        <v>44</v>
      </c>
      <c r="F505" s="12"/>
      <c r="G505" s="21">
        <f t="shared" si="39"/>
        <v>0</v>
      </c>
    </row>
    <row r="506" spans="1:7" ht="38.25">
      <c r="A506" s="77" t="s">
        <v>1704</v>
      </c>
      <c r="B506" s="6" t="s">
        <v>705</v>
      </c>
      <c r="C506" s="6" t="s">
        <v>706</v>
      </c>
      <c r="D506" s="77" t="s">
        <v>93</v>
      </c>
      <c r="E506" s="114">
        <f>8+36</f>
        <v>44</v>
      </c>
      <c r="F506" s="12"/>
      <c r="G506" s="21">
        <f t="shared" si="39"/>
        <v>0</v>
      </c>
    </row>
    <row r="507" spans="1:7" ht="25.5">
      <c r="A507" s="77" t="s">
        <v>1705</v>
      </c>
      <c r="B507" s="6" t="s">
        <v>634</v>
      </c>
      <c r="C507" s="6" t="s">
        <v>708</v>
      </c>
      <c r="D507" s="77" t="s">
        <v>93</v>
      </c>
      <c r="E507" s="114">
        <v>195</v>
      </c>
      <c r="F507" s="12"/>
      <c r="G507" s="21">
        <f t="shared" si="39"/>
        <v>0</v>
      </c>
    </row>
    <row r="508" spans="1:7" ht="25.5">
      <c r="A508" s="77" t="s">
        <v>1706</v>
      </c>
      <c r="B508" s="6" t="s">
        <v>710</v>
      </c>
      <c r="C508" s="6" t="s">
        <v>711</v>
      </c>
      <c r="D508" s="77" t="s">
        <v>93</v>
      </c>
      <c r="E508" s="114">
        <v>87</v>
      </c>
      <c r="F508" s="12"/>
      <c r="G508" s="21">
        <f t="shared" si="39"/>
        <v>0</v>
      </c>
    </row>
    <row r="509" spans="1:7" ht="25.5">
      <c r="A509" s="77" t="s">
        <v>1707</v>
      </c>
      <c r="B509" s="6" t="s">
        <v>615</v>
      </c>
      <c r="C509" s="6" t="s">
        <v>712</v>
      </c>
      <c r="D509" s="77" t="s">
        <v>93</v>
      </c>
      <c r="E509" s="114">
        <v>39</v>
      </c>
      <c r="F509" s="12"/>
      <c r="G509" s="21">
        <f t="shared" si="39"/>
        <v>0</v>
      </c>
    </row>
    <row r="510" spans="1:7" ht="25.5">
      <c r="A510" s="77" t="s">
        <v>1708</v>
      </c>
      <c r="B510" s="6" t="s">
        <v>710</v>
      </c>
      <c r="C510" s="6" t="s">
        <v>713</v>
      </c>
      <c r="D510" s="77" t="s">
        <v>93</v>
      </c>
      <c r="E510" s="114">
        <v>32</v>
      </c>
      <c r="F510" s="12"/>
      <c r="G510" s="21">
        <f t="shared" si="39"/>
        <v>0</v>
      </c>
    </row>
    <row r="511" spans="1:7" ht="25.5">
      <c r="A511" s="77" t="s">
        <v>1709</v>
      </c>
      <c r="B511" s="6" t="s">
        <v>615</v>
      </c>
      <c r="C511" s="6" t="s">
        <v>714</v>
      </c>
      <c r="D511" s="77" t="s">
        <v>93</v>
      </c>
      <c r="E511" s="114">
        <v>63</v>
      </c>
      <c r="F511" s="12"/>
      <c r="G511" s="21">
        <f t="shared" si="39"/>
        <v>0</v>
      </c>
    </row>
    <row r="512" spans="1:7" ht="25.5">
      <c r="A512" s="77" t="s">
        <v>1710</v>
      </c>
      <c r="B512" s="6" t="s">
        <v>491</v>
      </c>
      <c r="C512" s="6" t="s">
        <v>492</v>
      </c>
      <c r="D512" s="77" t="s">
        <v>93</v>
      </c>
      <c r="E512" s="114">
        <v>9</v>
      </c>
      <c r="F512" s="12"/>
      <c r="G512" s="21">
        <f t="shared" si="39"/>
        <v>0</v>
      </c>
    </row>
    <row r="513" spans="1:7" ht="25.5">
      <c r="A513" s="77" t="s">
        <v>1711</v>
      </c>
      <c r="B513" s="6" t="s">
        <v>715</v>
      </c>
      <c r="C513" s="6" t="s">
        <v>716</v>
      </c>
      <c r="D513" s="77" t="s">
        <v>93</v>
      </c>
      <c r="E513" s="114">
        <v>60</v>
      </c>
      <c r="F513" s="12"/>
      <c r="G513" s="21">
        <f t="shared" si="39"/>
        <v>0</v>
      </c>
    </row>
    <row r="514" spans="1:7" ht="25.5">
      <c r="A514" s="77" t="s">
        <v>1712</v>
      </c>
      <c r="B514" s="6" t="s">
        <v>717</v>
      </c>
      <c r="C514" s="6" t="s">
        <v>718</v>
      </c>
      <c r="D514" s="77" t="s">
        <v>93</v>
      </c>
      <c r="E514" s="114">
        <v>2</v>
      </c>
      <c r="F514" s="12"/>
      <c r="G514" s="21">
        <f t="shared" si="39"/>
        <v>0</v>
      </c>
    </row>
    <row r="515" spans="1:7" ht="25.5">
      <c r="A515" s="77" t="s">
        <v>1713</v>
      </c>
      <c r="B515" s="6" t="s">
        <v>715</v>
      </c>
      <c r="C515" s="6" t="s">
        <v>719</v>
      </c>
      <c r="D515" s="77" t="s">
        <v>93</v>
      </c>
      <c r="E515" s="114">
        <v>8</v>
      </c>
      <c r="F515" s="12"/>
      <c r="G515" s="21">
        <f t="shared" si="39"/>
        <v>0</v>
      </c>
    </row>
    <row r="516" spans="1:7" ht="25.5">
      <c r="A516" s="77" t="s">
        <v>1714</v>
      </c>
      <c r="B516" s="6" t="s">
        <v>715</v>
      </c>
      <c r="C516" s="6" t="s">
        <v>720</v>
      </c>
      <c r="D516" s="77" t="s">
        <v>93</v>
      </c>
      <c r="E516" s="114">
        <v>36</v>
      </c>
      <c r="F516" s="12"/>
      <c r="G516" s="21">
        <f t="shared" si="39"/>
        <v>0</v>
      </c>
    </row>
    <row r="517" spans="1:7" ht="25.5">
      <c r="A517" s="77" t="s">
        <v>1715</v>
      </c>
      <c r="B517" s="6" t="s">
        <v>721</v>
      </c>
      <c r="C517" s="6" t="s">
        <v>1916</v>
      </c>
      <c r="D517" s="77" t="s">
        <v>334</v>
      </c>
      <c r="E517" s="114">
        <v>1</v>
      </c>
      <c r="F517" s="12"/>
      <c r="G517" s="21">
        <f t="shared" si="39"/>
        <v>0</v>
      </c>
    </row>
    <row r="518" spans="1:7" ht="25.5">
      <c r="A518" s="77" t="s">
        <v>1716</v>
      </c>
      <c r="B518" s="6" t="s">
        <v>722</v>
      </c>
      <c r="C518" s="6" t="s">
        <v>1917</v>
      </c>
      <c r="D518" s="77" t="s">
        <v>334</v>
      </c>
      <c r="E518" s="114">
        <v>2</v>
      </c>
      <c r="F518" s="12"/>
      <c r="G518" s="21">
        <f t="shared" si="39"/>
        <v>0</v>
      </c>
    </row>
    <row r="519" spans="1:7" ht="25.5">
      <c r="A519" s="77" t="s">
        <v>1717</v>
      </c>
      <c r="B519" s="6" t="s">
        <v>443</v>
      </c>
      <c r="C519" s="6" t="s">
        <v>1918</v>
      </c>
      <c r="D519" s="77" t="s">
        <v>334</v>
      </c>
      <c r="E519" s="114">
        <v>2</v>
      </c>
      <c r="F519" s="12"/>
      <c r="G519" s="21">
        <f t="shared" si="39"/>
        <v>0</v>
      </c>
    </row>
    <row r="520" spans="1:7" ht="25.5">
      <c r="A520" s="77" t="s">
        <v>1718</v>
      </c>
      <c r="B520" s="6" t="s">
        <v>723</v>
      </c>
      <c r="C520" s="6" t="s">
        <v>1919</v>
      </c>
      <c r="D520" s="77" t="s">
        <v>334</v>
      </c>
      <c r="E520" s="114">
        <v>1</v>
      </c>
      <c r="F520" s="12"/>
      <c r="G520" s="21">
        <f t="shared" si="39"/>
        <v>0</v>
      </c>
    </row>
    <row r="521" spans="1:7" ht="25.5">
      <c r="A521" s="77" t="s">
        <v>1719</v>
      </c>
      <c r="B521" s="6" t="s">
        <v>723</v>
      </c>
      <c r="C521" s="6" t="s">
        <v>1920</v>
      </c>
      <c r="D521" s="77" t="s">
        <v>334</v>
      </c>
      <c r="E521" s="114">
        <v>3</v>
      </c>
      <c r="F521" s="12"/>
      <c r="G521" s="21">
        <f t="shared" si="39"/>
        <v>0</v>
      </c>
    </row>
    <row r="522" spans="1:7" ht="25.5">
      <c r="A522" s="77" t="s">
        <v>1720</v>
      </c>
      <c r="B522" s="6" t="s">
        <v>723</v>
      </c>
      <c r="C522" s="6" t="s">
        <v>1921</v>
      </c>
      <c r="D522" s="77" t="s">
        <v>334</v>
      </c>
      <c r="E522" s="114">
        <v>3</v>
      </c>
      <c r="F522" s="12"/>
      <c r="G522" s="21">
        <f t="shared" si="39"/>
        <v>0</v>
      </c>
    </row>
    <row r="523" spans="1:7" ht="38.25">
      <c r="A523" s="77" t="s">
        <v>1721</v>
      </c>
      <c r="B523" s="6" t="s">
        <v>724</v>
      </c>
      <c r="C523" s="6" t="s">
        <v>725</v>
      </c>
      <c r="D523" s="77" t="s">
        <v>334</v>
      </c>
      <c r="E523" s="114">
        <v>1</v>
      </c>
      <c r="F523" s="12"/>
      <c r="G523" s="21">
        <f t="shared" si="39"/>
        <v>0</v>
      </c>
    </row>
    <row r="524" spans="1:7" ht="38.25">
      <c r="A524" s="77" t="s">
        <v>1722</v>
      </c>
      <c r="B524" s="6" t="s">
        <v>726</v>
      </c>
      <c r="C524" s="6" t="s">
        <v>727</v>
      </c>
      <c r="D524" s="77" t="s">
        <v>334</v>
      </c>
      <c r="E524" s="114">
        <v>2</v>
      </c>
      <c r="F524" s="12"/>
      <c r="G524" s="21">
        <f t="shared" si="39"/>
        <v>0</v>
      </c>
    </row>
    <row r="525" spans="1:7" ht="38.25">
      <c r="A525" s="77" t="s">
        <v>1723</v>
      </c>
      <c r="B525" s="6" t="s">
        <v>728</v>
      </c>
      <c r="C525" s="6" t="s">
        <v>729</v>
      </c>
      <c r="D525" s="77" t="s">
        <v>334</v>
      </c>
      <c r="E525" s="114">
        <v>2</v>
      </c>
      <c r="F525" s="12"/>
      <c r="G525" s="21">
        <f t="shared" si="39"/>
        <v>0</v>
      </c>
    </row>
    <row r="526" spans="1:7" ht="38.25">
      <c r="A526" s="77" t="s">
        <v>1724</v>
      </c>
      <c r="B526" s="6" t="s">
        <v>730</v>
      </c>
      <c r="C526" s="6" t="s">
        <v>731</v>
      </c>
      <c r="D526" s="77" t="s">
        <v>334</v>
      </c>
      <c r="E526" s="114">
        <v>7</v>
      </c>
      <c r="F526" s="12"/>
      <c r="G526" s="21">
        <f t="shared" si="39"/>
        <v>0</v>
      </c>
    </row>
    <row r="527" spans="1:7" ht="15">
      <c r="A527" s="77" t="s">
        <v>1725</v>
      </c>
      <c r="B527" s="6" t="s">
        <v>732</v>
      </c>
      <c r="C527" s="6" t="s">
        <v>733</v>
      </c>
      <c r="D527" s="77" t="s">
        <v>102</v>
      </c>
      <c r="E527" s="114">
        <v>43</v>
      </c>
      <c r="F527" s="12"/>
      <c r="G527" s="21">
        <f t="shared" si="39"/>
        <v>0</v>
      </c>
    </row>
    <row r="528" spans="1:7" ht="15">
      <c r="A528" s="77" t="s">
        <v>1726</v>
      </c>
      <c r="B528" s="6" t="s">
        <v>732</v>
      </c>
      <c r="C528" s="6" t="s">
        <v>465</v>
      </c>
      <c r="D528" s="77" t="s">
        <v>102</v>
      </c>
      <c r="E528" s="114">
        <v>35</v>
      </c>
      <c r="F528" s="12"/>
      <c r="G528" s="21">
        <f t="shared" si="39"/>
        <v>0</v>
      </c>
    </row>
    <row r="529" spans="1:7" ht="15">
      <c r="A529" s="77" t="s">
        <v>1727</v>
      </c>
      <c r="B529" s="6" t="s">
        <v>734</v>
      </c>
      <c r="C529" s="6" t="s">
        <v>735</v>
      </c>
      <c r="D529" s="77" t="s">
        <v>102</v>
      </c>
      <c r="E529" s="114">
        <v>7</v>
      </c>
      <c r="F529" s="12"/>
      <c r="G529" s="21">
        <f t="shared" si="39"/>
        <v>0</v>
      </c>
    </row>
    <row r="530" spans="1:7" ht="15">
      <c r="A530" s="77" t="s">
        <v>1728</v>
      </c>
      <c r="B530" s="6" t="s">
        <v>736</v>
      </c>
      <c r="C530" s="6" t="s">
        <v>737</v>
      </c>
      <c r="D530" s="77" t="s">
        <v>102</v>
      </c>
      <c r="E530" s="114">
        <v>10</v>
      </c>
      <c r="F530" s="12"/>
      <c r="G530" s="21">
        <f t="shared" si="39"/>
        <v>0</v>
      </c>
    </row>
    <row r="531" spans="1:7" ht="15">
      <c r="A531" s="77" t="s">
        <v>1729</v>
      </c>
      <c r="B531" s="6" t="s">
        <v>738</v>
      </c>
      <c r="C531" s="6" t="s">
        <v>739</v>
      </c>
      <c r="D531" s="77" t="s">
        <v>102</v>
      </c>
      <c r="E531" s="114">
        <v>9</v>
      </c>
      <c r="F531" s="12"/>
      <c r="G531" s="21">
        <f t="shared" si="39"/>
        <v>0</v>
      </c>
    </row>
    <row r="532" spans="1:7" ht="15">
      <c r="A532" s="77" t="s">
        <v>1730</v>
      </c>
      <c r="B532" s="6" t="s">
        <v>740</v>
      </c>
      <c r="C532" s="6" t="s">
        <v>741</v>
      </c>
      <c r="D532" s="77" t="s">
        <v>102</v>
      </c>
      <c r="E532" s="114">
        <v>2</v>
      </c>
      <c r="F532" s="12"/>
      <c r="G532" s="21">
        <f t="shared" si="39"/>
        <v>0</v>
      </c>
    </row>
    <row r="533" spans="1:7" ht="15">
      <c r="A533" s="77" t="s">
        <v>1731</v>
      </c>
      <c r="B533" s="6" t="s">
        <v>742</v>
      </c>
      <c r="C533" s="6" t="s">
        <v>743</v>
      </c>
      <c r="D533" s="77" t="s">
        <v>102</v>
      </c>
      <c r="E533" s="114">
        <v>5</v>
      </c>
      <c r="F533" s="12"/>
      <c r="G533" s="21">
        <f t="shared" si="39"/>
        <v>0</v>
      </c>
    </row>
    <row r="534" spans="1:7" ht="15">
      <c r="A534" s="77" t="s">
        <v>1732</v>
      </c>
      <c r="B534" s="6" t="s">
        <v>447</v>
      </c>
      <c r="C534" s="6" t="s">
        <v>744</v>
      </c>
      <c r="D534" s="77" t="s">
        <v>102</v>
      </c>
      <c r="E534" s="114">
        <v>1</v>
      </c>
      <c r="F534" s="12"/>
      <c r="G534" s="21">
        <f t="shared" si="39"/>
        <v>0</v>
      </c>
    </row>
    <row r="535" spans="1:7" ht="15">
      <c r="A535" s="77" t="s">
        <v>1733</v>
      </c>
      <c r="B535" s="6" t="s">
        <v>745</v>
      </c>
      <c r="C535" s="6" t="s">
        <v>746</v>
      </c>
      <c r="D535" s="77" t="s">
        <v>102</v>
      </c>
      <c r="E535" s="114">
        <v>1</v>
      </c>
      <c r="F535" s="12"/>
      <c r="G535" s="21">
        <f t="shared" si="39"/>
        <v>0</v>
      </c>
    </row>
    <row r="536" spans="1:7" ht="25.5">
      <c r="A536" s="77" t="s">
        <v>1734</v>
      </c>
      <c r="B536" s="6" t="s">
        <v>747</v>
      </c>
      <c r="C536" s="6" t="s">
        <v>748</v>
      </c>
      <c r="D536" s="77" t="s">
        <v>102</v>
      </c>
      <c r="E536" s="114">
        <v>1</v>
      </c>
      <c r="F536" s="12"/>
      <c r="G536" s="21">
        <f t="shared" si="39"/>
        <v>0</v>
      </c>
    </row>
    <row r="537" spans="1:7" ht="25.5">
      <c r="A537" s="77" t="s">
        <v>1735</v>
      </c>
      <c r="B537" s="6" t="s">
        <v>749</v>
      </c>
      <c r="C537" s="6" t="s">
        <v>750</v>
      </c>
      <c r="D537" s="77" t="s">
        <v>102</v>
      </c>
      <c r="E537" s="114">
        <v>3</v>
      </c>
      <c r="F537" s="12"/>
      <c r="G537" s="21">
        <f t="shared" si="39"/>
        <v>0</v>
      </c>
    </row>
    <row r="538" spans="1:7" ht="25.5">
      <c r="A538" s="77" t="s">
        <v>1736</v>
      </c>
      <c r="B538" s="6" t="s">
        <v>752</v>
      </c>
      <c r="C538" s="6" t="s">
        <v>753</v>
      </c>
      <c r="D538" s="77" t="s">
        <v>334</v>
      </c>
      <c r="E538" s="114">
        <v>1</v>
      </c>
      <c r="F538" s="12"/>
      <c r="G538" s="21">
        <f t="shared" si="39"/>
        <v>0</v>
      </c>
    </row>
    <row r="539" spans="1:7" ht="25.5">
      <c r="A539" s="77" t="s">
        <v>1737</v>
      </c>
      <c r="B539" s="6" t="s">
        <v>754</v>
      </c>
      <c r="C539" s="6" t="s">
        <v>755</v>
      </c>
      <c r="D539" s="77" t="s">
        <v>102</v>
      </c>
      <c r="E539" s="114">
        <v>4</v>
      </c>
      <c r="F539" s="12"/>
      <c r="G539" s="21">
        <f t="shared" si="39"/>
        <v>0</v>
      </c>
    </row>
    <row r="540" spans="1:7" ht="15">
      <c r="A540" s="77" t="s">
        <v>1738</v>
      </c>
      <c r="B540" s="6" t="s">
        <v>756</v>
      </c>
      <c r="C540" s="6" t="s">
        <v>757</v>
      </c>
      <c r="D540" s="77" t="s">
        <v>102</v>
      </c>
      <c r="E540" s="114">
        <v>8</v>
      </c>
      <c r="F540" s="12"/>
      <c r="G540" s="21">
        <f t="shared" si="39"/>
        <v>0</v>
      </c>
    </row>
    <row r="541" spans="1:7" ht="25.5">
      <c r="A541" s="77"/>
      <c r="B541" s="6" t="s">
        <v>1865</v>
      </c>
      <c r="C541" s="6" t="s">
        <v>1866</v>
      </c>
      <c r="D541" s="77" t="s">
        <v>102</v>
      </c>
      <c r="E541" s="114">
        <v>2</v>
      </c>
      <c r="F541" s="12"/>
      <c r="G541" s="21">
        <f t="shared" si="39"/>
        <v>0</v>
      </c>
    </row>
    <row r="542" spans="1:7" ht="15">
      <c r="A542" s="77" t="s">
        <v>1739</v>
      </c>
      <c r="B542" s="6" t="s">
        <v>756</v>
      </c>
      <c r="C542" s="6" t="s">
        <v>758</v>
      </c>
      <c r="D542" s="77" t="s">
        <v>102</v>
      </c>
      <c r="E542" s="114">
        <v>5</v>
      </c>
      <c r="F542" s="12"/>
      <c r="G542" s="21">
        <f t="shared" si="39"/>
        <v>0</v>
      </c>
    </row>
    <row r="543" spans="1:7" ht="25.5">
      <c r="A543" s="77"/>
      <c r="B543" s="6" t="s">
        <v>1865</v>
      </c>
      <c r="C543" s="6" t="s">
        <v>1869</v>
      </c>
      <c r="D543" s="77" t="s">
        <v>102</v>
      </c>
      <c r="E543" s="114">
        <v>1</v>
      </c>
      <c r="F543" s="12"/>
      <c r="G543" s="21">
        <f t="shared" si="39"/>
        <v>0</v>
      </c>
    </row>
    <row r="544" spans="1:7" ht="25.5">
      <c r="A544" s="77"/>
      <c r="B544" s="6" t="s">
        <v>1865</v>
      </c>
      <c r="C544" s="6" t="s">
        <v>1867</v>
      </c>
      <c r="D544" s="77" t="s">
        <v>102</v>
      </c>
      <c r="E544" s="114">
        <v>1</v>
      </c>
      <c r="F544" s="12"/>
      <c r="G544" s="21">
        <f t="shared" si="39"/>
        <v>0</v>
      </c>
    </row>
    <row r="545" spans="1:7" ht="25.5">
      <c r="A545" s="77" t="s">
        <v>1740</v>
      </c>
      <c r="B545" s="6" t="s">
        <v>759</v>
      </c>
      <c r="C545" s="6" t="s">
        <v>1656</v>
      </c>
      <c r="D545" s="77" t="s">
        <v>102</v>
      </c>
      <c r="E545" s="114">
        <v>6</v>
      </c>
      <c r="F545" s="12"/>
      <c r="G545" s="21">
        <f t="shared" si="39"/>
        <v>0</v>
      </c>
    </row>
    <row r="546" spans="1:7" ht="25.5">
      <c r="A546" s="77" t="s">
        <v>1741</v>
      </c>
      <c r="B546" s="6" t="s">
        <v>760</v>
      </c>
      <c r="C546" s="6" t="s">
        <v>761</v>
      </c>
      <c r="D546" s="77" t="s">
        <v>102</v>
      </c>
      <c r="E546" s="114">
        <v>6</v>
      </c>
      <c r="F546" s="12"/>
      <c r="G546" s="21">
        <f t="shared" si="39"/>
        <v>0</v>
      </c>
    </row>
    <row r="547" spans="1:7" ht="15">
      <c r="A547" s="77" t="s">
        <v>1742</v>
      </c>
      <c r="B547" s="6" t="s">
        <v>762</v>
      </c>
      <c r="C547" s="6" t="s">
        <v>763</v>
      </c>
      <c r="D547" s="77" t="s">
        <v>102</v>
      </c>
      <c r="E547" s="114">
        <v>3</v>
      </c>
      <c r="F547" s="12"/>
      <c r="G547" s="21">
        <f t="shared" si="39"/>
        <v>0</v>
      </c>
    </row>
    <row r="548" spans="1:7" ht="38.25">
      <c r="A548" s="77" t="s">
        <v>1743</v>
      </c>
      <c r="B548" s="6" t="s">
        <v>764</v>
      </c>
      <c r="C548" s="6" t="s">
        <v>765</v>
      </c>
      <c r="D548" s="77" t="s">
        <v>102</v>
      </c>
      <c r="E548" s="114">
        <f>(4+10+7)*2+3+2</f>
        <v>47</v>
      </c>
      <c r="F548" s="12"/>
      <c r="G548" s="21">
        <f t="shared" si="39"/>
        <v>0</v>
      </c>
    </row>
    <row r="549" spans="1:7" ht="38.25">
      <c r="A549" s="77" t="s">
        <v>1744</v>
      </c>
      <c r="B549" s="6" t="s">
        <v>766</v>
      </c>
      <c r="C549" s="6" t="s">
        <v>767</v>
      </c>
      <c r="D549" s="77" t="s">
        <v>102</v>
      </c>
      <c r="E549" s="114">
        <v>9</v>
      </c>
      <c r="F549" s="12"/>
      <c r="G549" s="21">
        <f t="shared" si="39"/>
        <v>0</v>
      </c>
    </row>
    <row r="550" spans="1:7" ht="38.25">
      <c r="A550" s="77" t="s">
        <v>1745</v>
      </c>
      <c r="B550" s="6" t="s">
        <v>768</v>
      </c>
      <c r="C550" s="6" t="s">
        <v>769</v>
      </c>
      <c r="D550" s="77" t="s">
        <v>102</v>
      </c>
      <c r="E550" s="114">
        <v>6</v>
      </c>
      <c r="F550" s="12"/>
      <c r="G550" s="21">
        <f t="shared" si="39"/>
        <v>0</v>
      </c>
    </row>
    <row r="551" spans="1:7" ht="25.5">
      <c r="A551" s="77" t="s">
        <v>1746</v>
      </c>
      <c r="B551" s="6" t="s">
        <v>770</v>
      </c>
      <c r="C551" s="6" t="s">
        <v>771</v>
      </c>
      <c r="D551" s="77" t="s">
        <v>93</v>
      </c>
      <c r="E551" s="114">
        <v>44</v>
      </c>
      <c r="F551" s="12"/>
      <c r="G551" s="21">
        <f t="shared" si="39"/>
        <v>0</v>
      </c>
    </row>
    <row r="552" spans="1:7" ht="25.5">
      <c r="A552" s="77" t="s">
        <v>1747</v>
      </c>
      <c r="B552" s="6" t="s">
        <v>772</v>
      </c>
      <c r="C552" s="6" t="s">
        <v>773</v>
      </c>
      <c r="D552" s="77" t="s">
        <v>93</v>
      </c>
      <c r="E552" s="114">
        <v>39</v>
      </c>
      <c r="F552" s="12"/>
      <c r="G552" s="21">
        <f t="shared" si="39"/>
        <v>0</v>
      </c>
    </row>
    <row r="553" spans="1:7" ht="25.5">
      <c r="A553" s="77" t="s">
        <v>1748</v>
      </c>
      <c r="B553" s="6" t="s">
        <v>774</v>
      </c>
      <c r="C553" s="6" t="s">
        <v>775</v>
      </c>
      <c r="D553" s="77" t="s">
        <v>93</v>
      </c>
      <c r="E553" s="114">
        <v>57</v>
      </c>
      <c r="F553" s="12"/>
      <c r="G553" s="21">
        <f t="shared" si="39"/>
        <v>0</v>
      </c>
    </row>
    <row r="554" spans="1:7" ht="15">
      <c r="A554" s="77" t="s">
        <v>1749</v>
      </c>
      <c r="B554" s="6" t="s">
        <v>776</v>
      </c>
      <c r="C554" s="6" t="s">
        <v>777</v>
      </c>
      <c r="D554" s="77" t="s">
        <v>93</v>
      </c>
      <c r="E554" s="114">
        <v>58</v>
      </c>
      <c r="F554" s="12"/>
      <c r="G554" s="21">
        <f t="shared" si="39"/>
        <v>0</v>
      </c>
    </row>
    <row r="555" spans="1:7" ht="25.5">
      <c r="A555" s="77" t="s">
        <v>1750</v>
      </c>
      <c r="B555" s="6" t="s">
        <v>778</v>
      </c>
      <c r="C555" s="6" t="s">
        <v>779</v>
      </c>
      <c r="D555" s="77" t="s">
        <v>102</v>
      </c>
      <c r="E555" s="114">
        <v>16</v>
      </c>
      <c r="F555" s="12"/>
      <c r="G555" s="21">
        <f t="shared" ref="G555:G573" si="40">E555*F555</f>
        <v>0</v>
      </c>
    </row>
    <row r="556" spans="1:7" ht="25.5">
      <c r="A556" s="77" t="s">
        <v>1751</v>
      </c>
      <c r="B556" s="6" t="s">
        <v>780</v>
      </c>
      <c r="C556" s="6" t="s">
        <v>781</v>
      </c>
      <c r="D556" s="77" t="s">
        <v>102</v>
      </c>
      <c r="E556" s="114">
        <v>7</v>
      </c>
      <c r="F556" s="12"/>
      <c r="G556" s="21">
        <f t="shared" si="40"/>
        <v>0</v>
      </c>
    </row>
    <row r="557" spans="1:7" ht="15">
      <c r="A557" s="77" t="s">
        <v>1752</v>
      </c>
      <c r="B557" s="6" t="s">
        <v>782</v>
      </c>
      <c r="C557" s="6" t="s">
        <v>783</v>
      </c>
      <c r="D557" s="77" t="s">
        <v>102</v>
      </c>
      <c r="E557" s="114">
        <v>4</v>
      </c>
      <c r="F557" s="12"/>
      <c r="G557" s="21">
        <f t="shared" si="40"/>
        <v>0</v>
      </c>
    </row>
    <row r="558" spans="1:7" ht="15">
      <c r="A558" s="77" t="s">
        <v>1753</v>
      </c>
      <c r="B558" s="6" t="s">
        <v>784</v>
      </c>
      <c r="C558" s="6" t="s">
        <v>785</v>
      </c>
      <c r="D558" s="77" t="s">
        <v>334</v>
      </c>
      <c r="E558" s="114">
        <v>8</v>
      </c>
      <c r="F558" s="12"/>
      <c r="G558" s="21">
        <f t="shared" si="40"/>
        <v>0</v>
      </c>
    </row>
    <row r="559" spans="1:7" ht="15">
      <c r="A559" s="77" t="s">
        <v>1754</v>
      </c>
      <c r="B559" s="6" t="s">
        <v>1682</v>
      </c>
      <c r="C559" s="6" t="s">
        <v>1683</v>
      </c>
      <c r="D559" s="77" t="s">
        <v>334</v>
      </c>
      <c r="E559" s="114">
        <v>2</v>
      </c>
      <c r="F559" s="12"/>
      <c r="G559" s="21">
        <f t="shared" si="40"/>
        <v>0</v>
      </c>
    </row>
    <row r="560" spans="1:7" ht="38.25">
      <c r="A560" s="77"/>
      <c r="B560" s="6"/>
      <c r="C560" s="6" t="s">
        <v>1872</v>
      </c>
      <c r="D560" s="77" t="s">
        <v>102</v>
      </c>
      <c r="E560" s="114">
        <v>1</v>
      </c>
      <c r="F560" s="12"/>
      <c r="G560" s="21">
        <f t="shared" si="40"/>
        <v>0</v>
      </c>
    </row>
    <row r="561" spans="1:7" ht="15">
      <c r="A561" s="77" t="s">
        <v>1755</v>
      </c>
      <c r="B561" s="6" t="s">
        <v>786</v>
      </c>
      <c r="C561" s="6" t="s">
        <v>787</v>
      </c>
      <c r="D561" s="77" t="s">
        <v>334</v>
      </c>
      <c r="E561" s="114">
        <v>10</v>
      </c>
      <c r="F561" s="12"/>
      <c r="G561" s="21">
        <f t="shared" si="40"/>
        <v>0</v>
      </c>
    </row>
    <row r="562" spans="1:7" ht="15">
      <c r="A562" s="77" t="s">
        <v>1756</v>
      </c>
      <c r="B562" s="6" t="s">
        <v>788</v>
      </c>
      <c r="C562" s="6" t="s">
        <v>789</v>
      </c>
      <c r="D562" s="77" t="s">
        <v>334</v>
      </c>
      <c r="E562" s="114">
        <v>2</v>
      </c>
      <c r="F562" s="12"/>
      <c r="G562" s="21">
        <f t="shared" si="40"/>
        <v>0</v>
      </c>
    </row>
    <row r="563" spans="1:7" ht="15">
      <c r="A563" s="77" t="s">
        <v>1757</v>
      </c>
      <c r="B563" s="6" t="s">
        <v>790</v>
      </c>
      <c r="C563" s="6" t="s">
        <v>791</v>
      </c>
      <c r="D563" s="77" t="s">
        <v>102</v>
      </c>
      <c r="E563" s="114">
        <v>5</v>
      </c>
      <c r="F563" s="12"/>
      <c r="G563" s="21">
        <f t="shared" si="40"/>
        <v>0</v>
      </c>
    </row>
    <row r="564" spans="1:7" ht="25.5">
      <c r="A564" s="77"/>
      <c r="B564" s="6" t="s">
        <v>1870</v>
      </c>
      <c r="C564" s="6" t="s">
        <v>1871</v>
      </c>
      <c r="D564" s="77" t="s">
        <v>102</v>
      </c>
      <c r="E564" s="114">
        <v>1</v>
      </c>
      <c r="F564" s="12"/>
      <c r="G564" s="21">
        <f t="shared" si="40"/>
        <v>0</v>
      </c>
    </row>
    <row r="565" spans="1:7" ht="15">
      <c r="A565" s="77" t="s">
        <v>1758</v>
      </c>
      <c r="B565" s="6" t="s">
        <v>790</v>
      </c>
      <c r="C565" s="6" t="s">
        <v>1868</v>
      </c>
      <c r="D565" s="77" t="s">
        <v>102</v>
      </c>
      <c r="E565" s="114">
        <v>1</v>
      </c>
      <c r="F565" s="12"/>
      <c r="G565" s="21">
        <f t="shared" si="40"/>
        <v>0</v>
      </c>
    </row>
    <row r="566" spans="1:7" ht="15">
      <c r="A566" s="77" t="s">
        <v>1759</v>
      </c>
      <c r="B566" s="6" t="s">
        <v>792</v>
      </c>
      <c r="C566" s="6" t="s">
        <v>1684</v>
      </c>
      <c r="D566" s="77" t="s">
        <v>334</v>
      </c>
      <c r="E566" s="114">
        <v>3</v>
      </c>
      <c r="F566" s="12"/>
      <c r="G566" s="21">
        <f t="shared" si="40"/>
        <v>0</v>
      </c>
    </row>
    <row r="567" spans="1:7" ht="15">
      <c r="A567" s="77" t="s">
        <v>1760</v>
      </c>
      <c r="B567" s="6" t="s">
        <v>1685</v>
      </c>
      <c r="C567" s="6" t="s">
        <v>1686</v>
      </c>
      <c r="D567" s="77" t="s">
        <v>334</v>
      </c>
      <c r="E567" s="114">
        <v>1</v>
      </c>
      <c r="F567" s="12"/>
      <c r="G567" s="21">
        <f t="shared" si="40"/>
        <v>0</v>
      </c>
    </row>
    <row r="568" spans="1:7" ht="25.5">
      <c r="A568" s="77" t="s">
        <v>1761</v>
      </c>
      <c r="B568" s="6" t="s">
        <v>793</v>
      </c>
      <c r="C568" s="6" t="s">
        <v>794</v>
      </c>
      <c r="D568" s="77" t="s">
        <v>334</v>
      </c>
      <c r="E568" s="114">
        <v>9</v>
      </c>
      <c r="F568" s="12"/>
      <c r="G568" s="21">
        <f t="shared" si="40"/>
        <v>0</v>
      </c>
    </row>
    <row r="569" spans="1:7" ht="25.5">
      <c r="A569" s="77" t="s">
        <v>1762</v>
      </c>
      <c r="B569" s="6" t="s">
        <v>795</v>
      </c>
      <c r="C569" s="6" t="s">
        <v>1687</v>
      </c>
      <c r="D569" s="77" t="s">
        <v>334</v>
      </c>
      <c r="E569" s="114">
        <v>5</v>
      </c>
      <c r="F569" s="12"/>
      <c r="G569" s="21">
        <f t="shared" si="40"/>
        <v>0</v>
      </c>
    </row>
    <row r="570" spans="1:7" ht="25.5">
      <c r="A570" s="77" t="s">
        <v>1763</v>
      </c>
      <c r="B570" s="6" t="s">
        <v>1688</v>
      </c>
      <c r="C570" s="6" t="s">
        <v>1689</v>
      </c>
      <c r="D570" s="77" t="s">
        <v>334</v>
      </c>
      <c r="E570" s="114">
        <v>4</v>
      </c>
      <c r="F570" s="12"/>
      <c r="G570" s="21">
        <f t="shared" si="40"/>
        <v>0</v>
      </c>
    </row>
    <row r="571" spans="1:7" ht="25.5">
      <c r="A571" s="77" t="s">
        <v>1764</v>
      </c>
      <c r="B571" s="6" t="s">
        <v>796</v>
      </c>
      <c r="C571" s="6" t="s">
        <v>797</v>
      </c>
      <c r="D571" s="77" t="s">
        <v>334</v>
      </c>
      <c r="E571" s="114">
        <v>9</v>
      </c>
      <c r="F571" s="12"/>
      <c r="G571" s="21">
        <f t="shared" si="40"/>
        <v>0</v>
      </c>
    </row>
    <row r="572" spans="1:7" ht="25.5">
      <c r="A572" s="77" t="s">
        <v>1765</v>
      </c>
      <c r="B572" s="6" t="s">
        <v>798</v>
      </c>
      <c r="C572" s="6" t="s">
        <v>799</v>
      </c>
      <c r="D572" s="77" t="s">
        <v>102</v>
      </c>
      <c r="E572" s="114">
        <f>10+2+6+1+4+1</f>
        <v>24</v>
      </c>
      <c r="F572" s="12"/>
      <c r="G572" s="21">
        <f t="shared" si="40"/>
        <v>0</v>
      </c>
    </row>
    <row r="573" spans="1:7" ht="25.5">
      <c r="A573" s="77" t="s">
        <v>1766</v>
      </c>
      <c r="B573" s="6" t="s">
        <v>800</v>
      </c>
      <c r="C573" s="6" t="s">
        <v>801</v>
      </c>
      <c r="D573" s="77" t="s">
        <v>102</v>
      </c>
      <c r="E573" s="114">
        <v>9</v>
      </c>
      <c r="F573" s="12"/>
      <c r="G573" s="21">
        <f t="shared" si="40"/>
        <v>0</v>
      </c>
    </row>
    <row r="574" spans="1:7" ht="15">
      <c r="A574" s="61" t="s">
        <v>216</v>
      </c>
      <c r="B574" s="138" t="s">
        <v>502</v>
      </c>
      <c r="C574" s="139"/>
      <c r="D574" s="61"/>
      <c r="E574" s="121"/>
      <c r="F574" s="65"/>
      <c r="G574" s="74">
        <f>SUM(G575:G585)</f>
        <v>0</v>
      </c>
    </row>
    <row r="575" spans="1:7" ht="25.5">
      <c r="A575" s="77" t="s">
        <v>1388</v>
      </c>
      <c r="B575" s="6" t="s">
        <v>503</v>
      </c>
      <c r="C575" s="6" t="s">
        <v>504</v>
      </c>
      <c r="D575" s="77" t="s">
        <v>102</v>
      </c>
      <c r="E575" s="114">
        <f>26+16</f>
        <v>42</v>
      </c>
      <c r="F575" s="12"/>
      <c r="G575" s="21">
        <f>E575*F575</f>
        <v>0</v>
      </c>
    </row>
    <row r="576" spans="1:7" ht="25.5">
      <c r="A576" s="77" t="s">
        <v>1389</v>
      </c>
      <c r="B576" s="6" t="s">
        <v>803</v>
      </c>
      <c r="C576" s="6" t="s">
        <v>804</v>
      </c>
      <c r="D576" s="77" t="s">
        <v>102</v>
      </c>
      <c r="E576" s="114">
        <v>6</v>
      </c>
      <c r="F576" s="12"/>
      <c r="G576" s="21">
        <f t="shared" ref="G576:G585" si="41">E576*F576</f>
        <v>0</v>
      </c>
    </row>
    <row r="577" spans="1:7" ht="25.5">
      <c r="A577" s="77" t="s">
        <v>1390</v>
      </c>
      <c r="B577" s="6" t="s">
        <v>505</v>
      </c>
      <c r="C577" s="6" t="s">
        <v>506</v>
      </c>
      <c r="D577" s="77" t="s">
        <v>102</v>
      </c>
      <c r="E577" s="114">
        <f>1+1</f>
        <v>2</v>
      </c>
      <c r="F577" s="12"/>
      <c r="G577" s="21">
        <f t="shared" si="41"/>
        <v>0</v>
      </c>
    </row>
    <row r="578" spans="1:7" ht="15">
      <c r="A578" s="77" t="s">
        <v>1391</v>
      </c>
      <c r="B578" s="6" t="s">
        <v>535</v>
      </c>
      <c r="C578" s="6" t="s">
        <v>536</v>
      </c>
      <c r="D578" s="77" t="s">
        <v>102</v>
      </c>
      <c r="E578" s="114">
        <f>14+32</f>
        <v>46</v>
      </c>
      <c r="F578" s="12"/>
      <c r="G578" s="21">
        <f t="shared" si="41"/>
        <v>0</v>
      </c>
    </row>
    <row r="579" spans="1:7" ht="15">
      <c r="A579" s="77" t="s">
        <v>1392</v>
      </c>
      <c r="B579" s="6" t="s">
        <v>507</v>
      </c>
      <c r="C579" s="6" t="s">
        <v>508</v>
      </c>
      <c r="D579" s="77" t="s">
        <v>102</v>
      </c>
      <c r="E579" s="114">
        <f>26+16</f>
        <v>42</v>
      </c>
      <c r="F579" s="12"/>
      <c r="G579" s="21">
        <f t="shared" si="41"/>
        <v>0</v>
      </c>
    </row>
    <row r="580" spans="1:7" ht="15">
      <c r="A580" s="77" t="s">
        <v>1393</v>
      </c>
      <c r="B580" s="6" t="s">
        <v>509</v>
      </c>
      <c r="C580" s="6" t="s">
        <v>510</v>
      </c>
      <c r="D580" s="77" t="s">
        <v>102</v>
      </c>
      <c r="E580" s="114">
        <f>6+1+1</f>
        <v>8</v>
      </c>
      <c r="F580" s="12"/>
      <c r="G580" s="21">
        <f t="shared" si="41"/>
        <v>0</v>
      </c>
    </row>
    <row r="581" spans="1:7" ht="15">
      <c r="A581" s="77" t="s">
        <v>1394</v>
      </c>
      <c r="B581" s="6" t="s">
        <v>537</v>
      </c>
      <c r="C581" s="6" t="s">
        <v>538</v>
      </c>
      <c r="D581" s="77" t="s">
        <v>102</v>
      </c>
      <c r="E581" s="114">
        <f>14+32</f>
        <v>46</v>
      </c>
      <c r="F581" s="12"/>
      <c r="G581" s="21">
        <f t="shared" si="41"/>
        <v>0</v>
      </c>
    </row>
    <row r="582" spans="1:7" ht="25.5">
      <c r="A582" s="77" t="s">
        <v>1395</v>
      </c>
      <c r="B582" s="6" t="s">
        <v>618</v>
      </c>
      <c r="C582" s="6" t="s">
        <v>619</v>
      </c>
      <c r="D582" s="77" t="s">
        <v>93</v>
      </c>
      <c r="E582" s="114">
        <f>120+60</f>
        <v>180</v>
      </c>
      <c r="F582" s="12"/>
      <c r="G582" s="21">
        <f t="shared" si="41"/>
        <v>0</v>
      </c>
    </row>
    <row r="583" spans="1:7" ht="25.5">
      <c r="A583" s="77" t="s">
        <v>1396</v>
      </c>
      <c r="B583" s="6" t="s">
        <v>620</v>
      </c>
      <c r="C583" s="6" t="s">
        <v>621</v>
      </c>
      <c r="D583" s="77" t="s">
        <v>93</v>
      </c>
      <c r="E583" s="114">
        <f>120+60</f>
        <v>180</v>
      </c>
      <c r="F583" s="12"/>
      <c r="G583" s="21">
        <f t="shared" si="41"/>
        <v>0</v>
      </c>
    </row>
    <row r="584" spans="1:7" ht="25.5">
      <c r="A584" s="77" t="s">
        <v>1397</v>
      </c>
      <c r="B584" s="6" t="s">
        <v>805</v>
      </c>
      <c r="C584" s="6" t="s">
        <v>806</v>
      </c>
      <c r="D584" s="77" t="s">
        <v>93</v>
      </c>
      <c r="E584" s="114">
        <f>50+65</f>
        <v>115</v>
      </c>
      <c r="F584" s="12"/>
      <c r="G584" s="21">
        <f t="shared" si="41"/>
        <v>0</v>
      </c>
    </row>
    <row r="585" spans="1:7" ht="25.5">
      <c r="A585" s="77" t="s">
        <v>1651</v>
      </c>
      <c r="B585" s="6" t="s">
        <v>807</v>
      </c>
      <c r="C585" s="6" t="s">
        <v>808</v>
      </c>
      <c r="D585" s="77" t="s">
        <v>93</v>
      </c>
      <c r="E585" s="114">
        <f>50+65</f>
        <v>115</v>
      </c>
      <c r="F585" s="12"/>
      <c r="G585" s="21">
        <f t="shared" si="41"/>
        <v>0</v>
      </c>
    </row>
    <row r="586" spans="1:7" ht="15">
      <c r="A586" s="37">
        <v>6</v>
      </c>
      <c r="B586" s="148" t="s">
        <v>809</v>
      </c>
      <c r="C586" s="149"/>
      <c r="D586" s="37"/>
      <c r="E586" s="123"/>
      <c r="F586" s="39"/>
      <c r="G586" s="40">
        <f>SUM(G587,G593)</f>
        <v>0</v>
      </c>
    </row>
    <row r="587" spans="1:7" ht="15">
      <c r="A587" s="61" t="s">
        <v>221</v>
      </c>
      <c r="B587" s="138" t="s">
        <v>399</v>
      </c>
      <c r="C587" s="139"/>
      <c r="D587" s="61"/>
      <c r="E587" s="121"/>
      <c r="F587" s="65"/>
      <c r="G587" s="74">
        <f>SUM(G588:G592)</f>
        <v>0</v>
      </c>
    </row>
    <row r="588" spans="1:7" ht="153">
      <c r="A588" s="77" t="s">
        <v>1619</v>
      </c>
      <c r="B588" s="6" t="s">
        <v>811</v>
      </c>
      <c r="C588" s="17" t="s">
        <v>812</v>
      </c>
      <c r="D588" s="77" t="s">
        <v>102</v>
      </c>
      <c r="E588" s="114">
        <v>1</v>
      </c>
      <c r="F588" s="12"/>
      <c r="G588" s="21">
        <f>E588*F588</f>
        <v>0</v>
      </c>
    </row>
    <row r="589" spans="1:7" ht="204">
      <c r="A589" s="77" t="s">
        <v>1404</v>
      </c>
      <c r="B589" s="6" t="s">
        <v>811</v>
      </c>
      <c r="C589" s="6" t="s">
        <v>1609</v>
      </c>
      <c r="D589" s="22" t="s">
        <v>102</v>
      </c>
      <c r="E589" s="114">
        <v>2</v>
      </c>
      <c r="F589" s="12"/>
      <c r="G589" s="21">
        <f t="shared" ref="G589:G592" si="42">E589*F589</f>
        <v>0</v>
      </c>
    </row>
    <row r="590" spans="1:7" ht="25.5">
      <c r="A590" s="77" t="s">
        <v>1405</v>
      </c>
      <c r="B590" s="6" t="s">
        <v>813</v>
      </c>
      <c r="C590" s="6" t="s">
        <v>814</v>
      </c>
      <c r="D590" s="77" t="s">
        <v>93</v>
      </c>
      <c r="E590" s="114">
        <v>20</v>
      </c>
      <c r="F590" s="12"/>
      <c r="G590" s="21">
        <f t="shared" si="42"/>
        <v>0</v>
      </c>
    </row>
    <row r="591" spans="1:7" ht="25.5">
      <c r="A591" s="77" t="s">
        <v>1406</v>
      </c>
      <c r="B591" s="6" t="s">
        <v>815</v>
      </c>
      <c r="C591" s="6" t="s">
        <v>816</v>
      </c>
      <c r="D591" s="77" t="s">
        <v>93</v>
      </c>
      <c r="E591" s="114">
        <v>20</v>
      </c>
      <c r="F591" s="12"/>
      <c r="G591" s="21">
        <f t="shared" si="42"/>
        <v>0</v>
      </c>
    </row>
    <row r="592" spans="1:7" ht="15">
      <c r="A592" s="77" t="s">
        <v>1407</v>
      </c>
      <c r="B592" s="6" t="s">
        <v>686</v>
      </c>
      <c r="C592" s="6" t="s">
        <v>817</v>
      </c>
      <c r="D592" s="77" t="s">
        <v>93</v>
      </c>
      <c r="E592" s="114">
        <v>17</v>
      </c>
      <c r="F592" s="12"/>
      <c r="G592" s="21">
        <f t="shared" si="42"/>
        <v>0</v>
      </c>
    </row>
    <row r="593" spans="1:7" ht="15">
      <c r="A593" s="61" t="s">
        <v>685</v>
      </c>
      <c r="B593" s="138" t="s">
        <v>502</v>
      </c>
      <c r="C593" s="139"/>
      <c r="D593" s="61"/>
      <c r="E593" s="121"/>
      <c r="F593" s="65"/>
      <c r="G593" s="74">
        <f>SUM(G594:G599)</f>
        <v>0</v>
      </c>
    </row>
    <row r="594" spans="1:7" ht="25.5">
      <c r="A594" s="77" t="s">
        <v>1549</v>
      </c>
      <c r="B594" s="6" t="s">
        <v>503</v>
      </c>
      <c r="C594" s="6" t="s">
        <v>504</v>
      </c>
      <c r="D594" s="77" t="s">
        <v>102</v>
      </c>
      <c r="E594" s="114">
        <v>3</v>
      </c>
      <c r="F594" s="12"/>
      <c r="G594" s="21">
        <f>E594*F594</f>
        <v>0</v>
      </c>
    </row>
    <row r="595" spans="1:7" ht="25.5">
      <c r="A595" s="77" t="s">
        <v>1550</v>
      </c>
      <c r="B595" s="6" t="s">
        <v>505</v>
      </c>
      <c r="C595" s="6" t="s">
        <v>506</v>
      </c>
      <c r="D595" s="77" t="s">
        <v>102</v>
      </c>
      <c r="E595" s="114">
        <v>1</v>
      </c>
      <c r="F595" s="12"/>
      <c r="G595" s="21">
        <f t="shared" ref="G595:G599" si="43">E595*F595</f>
        <v>0</v>
      </c>
    </row>
    <row r="596" spans="1:7" ht="15">
      <c r="A596" s="77" t="s">
        <v>1551</v>
      </c>
      <c r="B596" s="6" t="s">
        <v>535</v>
      </c>
      <c r="C596" s="6" t="s">
        <v>536</v>
      </c>
      <c r="D596" s="77" t="s">
        <v>102</v>
      </c>
      <c r="E596" s="114">
        <v>1</v>
      </c>
      <c r="F596" s="12"/>
      <c r="G596" s="21">
        <f t="shared" si="43"/>
        <v>0</v>
      </c>
    </row>
    <row r="597" spans="1:7" ht="15">
      <c r="A597" s="77" t="s">
        <v>1552</v>
      </c>
      <c r="B597" s="6" t="s">
        <v>507</v>
      </c>
      <c r="C597" s="6" t="s">
        <v>508</v>
      </c>
      <c r="D597" s="77" t="s">
        <v>102</v>
      </c>
      <c r="E597" s="114">
        <v>3</v>
      </c>
      <c r="F597" s="12"/>
      <c r="G597" s="21">
        <f t="shared" si="43"/>
        <v>0</v>
      </c>
    </row>
    <row r="598" spans="1:7" ht="15">
      <c r="A598" s="77" t="s">
        <v>1553</v>
      </c>
      <c r="B598" s="6" t="s">
        <v>509</v>
      </c>
      <c r="C598" s="6" t="s">
        <v>510</v>
      </c>
      <c r="D598" s="77" t="s">
        <v>102</v>
      </c>
      <c r="E598" s="114">
        <v>1</v>
      </c>
      <c r="F598" s="12"/>
      <c r="G598" s="21">
        <f t="shared" si="43"/>
        <v>0</v>
      </c>
    </row>
    <row r="599" spans="1:7" ht="15">
      <c r="A599" s="77" t="s">
        <v>1554</v>
      </c>
      <c r="B599" s="6" t="s">
        <v>537</v>
      </c>
      <c r="C599" s="6" t="s">
        <v>538</v>
      </c>
      <c r="D599" s="77" t="s">
        <v>102</v>
      </c>
      <c r="E599" s="114">
        <v>1</v>
      </c>
      <c r="F599" s="12"/>
      <c r="G599" s="21">
        <f t="shared" si="43"/>
        <v>0</v>
      </c>
    </row>
    <row r="600" spans="1:7" ht="15">
      <c r="A600" s="41">
        <v>7</v>
      </c>
      <c r="B600" s="148" t="s">
        <v>819</v>
      </c>
      <c r="C600" s="149"/>
      <c r="D600" s="41"/>
      <c r="E600" s="118"/>
      <c r="F600" s="42"/>
      <c r="G600" s="40">
        <f>SUM(G601,G612,G618,G634)</f>
        <v>0</v>
      </c>
    </row>
    <row r="601" spans="1:7" ht="15">
      <c r="A601" s="61" t="s">
        <v>810</v>
      </c>
      <c r="B601" s="138" t="s">
        <v>821</v>
      </c>
      <c r="C601" s="139"/>
      <c r="D601" s="61"/>
      <c r="E601" s="121"/>
      <c r="F601" s="65"/>
      <c r="G601" s="74">
        <f>SUM(G602:G611)</f>
        <v>0</v>
      </c>
    </row>
    <row r="602" spans="1:7" ht="25.5">
      <c r="A602" s="77" t="s">
        <v>1569</v>
      </c>
      <c r="B602" s="6" t="s">
        <v>823</v>
      </c>
      <c r="C602" s="6" t="s">
        <v>824</v>
      </c>
      <c r="D602" s="77" t="s">
        <v>93</v>
      </c>
      <c r="E602" s="114">
        <f>4+2+4</f>
        <v>10</v>
      </c>
      <c r="F602" s="12"/>
      <c r="G602" s="21">
        <f t="shared" ref="G602:G611" si="44">E602*F602</f>
        <v>0</v>
      </c>
    </row>
    <row r="603" spans="1:7" ht="38.25">
      <c r="A603" s="77" t="s">
        <v>1560</v>
      </c>
      <c r="B603" s="6" t="s">
        <v>825</v>
      </c>
      <c r="C603" s="6" t="s">
        <v>826</v>
      </c>
      <c r="D603" s="77" t="s">
        <v>20</v>
      </c>
      <c r="E603" s="114">
        <f>4*2+4.5*3*2+8*3</f>
        <v>59</v>
      </c>
      <c r="F603" s="12"/>
      <c r="G603" s="21">
        <f t="shared" si="44"/>
        <v>0</v>
      </c>
    </row>
    <row r="604" spans="1:7" ht="38.25">
      <c r="A604" s="77" t="s">
        <v>1561</v>
      </c>
      <c r="B604" s="6" t="s">
        <v>270</v>
      </c>
      <c r="C604" s="6" t="s">
        <v>271</v>
      </c>
      <c r="D604" s="77" t="s">
        <v>20</v>
      </c>
      <c r="E604" s="114">
        <f>4*2</f>
        <v>8</v>
      </c>
      <c r="F604" s="12"/>
      <c r="G604" s="21">
        <f t="shared" si="44"/>
        <v>0</v>
      </c>
    </row>
    <row r="605" spans="1:7" ht="25.5">
      <c r="A605" s="77" t="s">
        <v>1567</v>
      </c>
      <c r="B605" s="6" t="s">
        <v>272</v>
      </c>
      <c r="C605" s="6" t="s">
        <v>273</v>
      </c>
      <c r="D605" s="77" t="s">
        <v>20</v>
      </c>
      <c r="E605" s="114">
        <f>4*2+4*2</f>
        <v>16</v>
      </c>
      <c r="F605" s="12"/>
      <c r="G605" s="21">
        <f t="shared" si="44"/>
        <v>0</v>
      </c>
    </row>
    <row r="606" spans="1:7" ht="25.5">
      <c r="A606" s="77" t="s">
        <v>1568</v>
      </c>
      <c r="B606" s="6" t="s">
        <v>274</v>
      </c>
      <c r="C606" s="6" t="s">
        <v>275</v>
      </c>
      <c r="D606" s="77" t="s">
        <v>20</v>
      </c>
      <c r="E606" s="114">
        <f>4*2</f>
        <v>8</v>
      </c>
      <c r="F606" s="12"/>
      <c r="G606" s="21">
        <f t="shared" si="44"/>
        <v>0</v>
      </c>
    </row>
    <row r="607" spans="1:7" ht="25.5">
      <c r="A607" s="77" t="s">
        <v>1767</v>
      </c>
      <c r="B607" s="6" t="s">
        <v>274</v>
      </c>
      <c r="C607" s="6" t="s">
        <v>827</v>
      </c>
      <c r="D607" s="77" t="s">
        <v>20</v>
      </c>
      <c r="E607" s="114">
        <f>4*2</f>
        <v>8</v>
      </c>
      <c r="F607" s="12"/>
      <c r="G607" s="21">
        <f t="shared" si="44"/>
        <v>0</v>
      </c>
    </row>
    <row r="608" spans="1:7" ht="25.5">
      <c r="A608" s="77" t="s">
        <v>1768</v>
      </c>
      <c r="B608" s="6" t="s">
        <v>70</v>
      </c>
      <c r="C608" s="6" t="s">
        <v>828</v>
      </c>
      <c r="D608" s="77" t="s">
        <v>7</v>
      </c>
      <c r="E608" s="114">
        <f>4*2*0.08+(4.5*3*2+8*3)*0.04</f>
        <v>2.68</v>
      </c>
      <c r="F608" s="12"/>
      <c r="G608" s="21">
        <f t="shared" si="44"/>
        <v>0</v>
      </c>
    </row>
    <row r="609" spans="1:7" ht="15">
      <c r="A609" s="77" t="s">
        <v>1769</v>
      </c>
      <c r="B609" s="6" t="s">
        <v>72</v>
      </c>
      <c r="C609" s="6" t="s">
        <v>829</v>
      </c>
      <c r="D609" s="77" t="s">
        <v>7</v>
      </c>
      <c r="E609" s="114">
        <f>4*2*0.08+(4.5*3*2+8*3)*0.04</f>
        <v>2.68</v>
      </c>
      <c r="F609" s="12"/>
      <c r="G609" s="21">
        <f t="shared" si="44"/>
        <v>0</v>
      </c>
    </row>
    <row r="610" spans="1:7" ht="25.5">
      <c r="A610" s="77" t="s">
        <v>1770</v>
      </c>
      <c r="B610" s="6" t="s">
        <v>70</v>
      </c>
      <c r="C610" s="6" t="s">
        <v>71</v>
      </c>
      <c r="D610" s="77" t="s">
        <v>7</v>
      </c>
      <c r="E610" s="114">
        <f>4*2*0.25+4*2*0.35</f>
        <v>4.8</v>
      </c>
      <c r="F610" s="12"/>
      <c r="G610" s="21">
        <f t="shared" si="44"/>
        <v>0</v>
      </c>
    </row>
    <row r="611" spans="1:7" ht="15">
      <c r="A611" s="77" t="s">
        <v>1771</v>
      </c>
      <c r="B611" s="6" t="s">
        <v>72</v>
      </c>
      <c r="C611" s="6" t="s">
        <v>276</v>
      </c>
      <c r="D611" s="77" t="s">
        <v>7</v>
      </c>
      <c r="E611" s="114">
        <f>4*2*0.25+4*2*0.35</f>
        <v>4.8</v>
      </c>
      <c r="F611" s="12"/>
      <c r="G611" s="21">
        <f t="shared" si="44"/>
        <v>0</v>
      </c>
    </row>
    <row r="612" spans="1:7" ht="15">
      <c r="A612" s="61" t="s">
        <v>818</v>
      </c>
      <c r="B612" s="138" t="s">
        <v>831</v>
      </c>
      <c r="C612" s="139"/>
      <c r="D612" s="61"/>
      <c r="E612" s="121"/>
      <c r="F612" s="65"/>
      <c r="G612" s="74">
        <f>SUM(G613:G617)</f>
        <v>0</v>
      </c>
    </row>
    <row r="613" spans="1:7" ht="25.5">
      <c r="A613" s="77" t="s">
        <v>1562</v>
      </c>
      <c r="B613" s="6" t="s">
        <v>832</v>
      </c>
      <c r="C613" s="6" t="s">
        <v>833</v>
      </c>
      <c r="D613" s="77" t="s">
        <v>7</v>
      </c>
      <c r="E613" s="114">
        <f>8*2*1.5</f>
        <v>24</v>
      </c>
      <c r="F613" s="12"/>
      <c r="G613" s="21">
        <f>E613*F613</f>
        <v>0</v>
      </c>
    </row>
    <row r="614" spans="1:7" ht="25.5">
      <c r="A614" s="77" t="s">
        <v>1563</v>
      </c>
      <c r="B614" s="6" t="s">
        <v>834</v>
      </c>
      <c r="C614" s="6" t="s">
        <v>835</v>
      </c>
      <c r="D614" s="77" t="s">
        <v>7</v>
      </c>
      <c r="E614" s="114">
        <f>8*2*1.5</f>
        <v>24</v>
      </c>
      <c r="F614" s="12"/>
      <c r="G614" s="21">
        <f t="shared" ref="G614:G617" si="45">E614*F614</f>
        <v>0</v>
      </c>
    </row>
    <row r="615" spans="1:7" ht="25.5">
      <c r="A615" s="77" t="s">
        <v>1564</v>
      </c>
      <c r="B615" s="6" t="s">
        <v>146</v>
      </c>
      <c r="C615" s="6" t="s">
        <v>286</v>
      </c>
      <c r="D615" s="77" t="s">
        <v>7</v>
      </c>
      <c r="E615" s="114">
        <f>8*2*1.5</f>
        <v>24</v>
      </c>
      <c r="F615" s="12"/>
      <c r="G615" s="21">
        <f t="shared" si="45"/>
        <v>0</v>
      </c>
    </row>
    <row r="616" spans="1:7" ht="25.5">
      <c r="A616" s="77" t="s">
        <v>1565</v>
      </c>
      <c r="B616" s="6" t="s">
        <v>70</v>
      </c>
      <c r="C616" s="6" t="s">
        <v>346</v>
      </c>
      <c r="D616" s="77" t="s">
        <v>7</v>
      </c>
      <c r="E616" s="114">
        <f>2*2*0.57</f>
        <v>2.2799999999999998</v>
      </c>
      <c r="F616" s="12"/>
      <c r="G616" s="21">
        <f t="shared" si="45"/>
        <v>0</v>
      </c>
    </row>
    <row r="617" spans="1:7" ht="15">
      <c r="A617" s="77" t="s">
        <v>1566</v>
      </c>
      <c r="B617" s="6" t="s">
        <v>72</v>
      </c>
      <c r="C617" s="6" t="s">
        <v>347</v>
      </c>
      <c r="D617" s="77" t="s">
        <v>7</v>
      </c>
      <c r="E617" s="114">
        <f>2*2*0.57</f>
        <v>2.2799999999999998</v>
      </c>
      <c r="F617" s="12"/>
      <c r="G617" s="21">
        <f t="shared" si="45"/>
        <v>0</v>
      </c>
    </row>
    <row r="618" spans="1:7" ht="15">
      <c r="A618" s="61" t="s">
        <v>1409</v>
      </c>
      <c r="B618" s="138" t="s">
        <v>399</v>
      </c>
      <c r="C618" s="139"/>
      <c r="D618" s="61"/>
      <c r="E618" s="121"/>
      <c r="F618" s="65"/>
      <c r="G618" s="74">
        <f>SUM(G619:G633)</f>
        <v>0</v>
      </c>
    </row>
    <row r="619" spans="1:7" ht="25.5">
      <c r="A619" s="77" t="s">
        <v>1772</v>
      </c>
      <c r="B619" s="6" t="s">
        <v>837</v>
      </c>
      <c r="C619" s="6" t="s">
        <v>838</v>
      </c>
      <c r="D619" s="77" t="s">
        <v>7</v>
      </c>
      <c r="E619" s="114">
        <f>2*2*0.57</f>
        <v>2.2799999999999998</v>
      </c>
      <c r="F619" s="12"/>
      <c r="G619" s="21">
        <f>E619*F619</f>
        <v>0</v>
      </c>
    </row>
    <row r="620" spans="1:7" ht="25.5">
      <c r="A620" s="77" t="s">
        <v>1773</v>
      </c>
      <c r="B620" s="6" t="s">
        <v>839</v>
      </c>
      <c r="C620" s="6" t="s">
        <v>840</v>
      </c>
      <c r="D620" s="77" t="s">
        <v>93</v>
      </c>
      <c r="E620" s="114">
        <v>11</v>
      </c>
      <c r="F620" s="12"/>
      <c r="G620" s="21">
        <f t="shared" ref="G620:G633" si="46">E620*F620</f>
        <v>0</v>
      </c>
    </row>
    <row r="621" spans="1:7" ht="25.5">
      <c r="A621" s="77" t="s">
        <v>1774</v>
      </c>
      <c r="B621" s="6" t="s">
        <v>841</v>
      </c>
      <c r="C621" s="6" t="s">
        <v>842</v>
      </c>
      <c r="D621" s="77" t="s">
        <v>93</v>
      </c>
      <c r="E621" s="114">
        <f>9.75</f>
        <v>9.75</v>
      </c>
      <c r="F621" s="12"/>
      <c r="G621" s="21">
        <f t="shared" si="46"/>
        <v>0</v>
      </c>
    </row>
    <row r="622" spans="1:7" ht="25.5">
      <c r="A622" s="77" t="s">
        <v>1775</v>
      </c>
      <c r="B622" s="6" t="s">
        <v>843</v>
      </c>
      <c r="C622" s="6" t="s">
        <v>844</v>
      </c>
      <c r="D622" s="77" t="s">
        <v>102</v>
      </c>
      <c r="E622" s="114">
        <v>1</v>
      </c>
      <c r="F622" s="12"/>
      <c r="G622" s="21">
        <f t="shared" si="46"/>
        <v>0</v>
      </c>
    </row>
    <row r="623" spans="1:7" ht="25.5">
      <c r="A623" s="77" t="s">
        <v>1776</v>
      </c>
      <c r="B623" s="6" t="s">
        <v>845</v>
      </c>
      <c r="C623" s="6" t="s">
        <v>846</v>
      </c>
      <c r="D623" s="77" t="s">
        <v>334</v>
      </c>
      <c r="E623" s="114">
        <v>1</v>
      </c>
      <c r="F623" s="12"/>
      <c r="G623" s="21">
        <f t="shared" si="46"/>
        <v>0</v>
      </c>
    </row>
    <row r="624" spans="1:7" ht="25.5">
      <c r="A624" s="77" t="s">
        <v>1655</v>
      </c>
      <c r="B624" s="6" t="s">
        <v>847</v>
      </c>
      <c r="C624" s="6" t="s">
        <v>848</v>
      </c>
      <c r="D624" s="77" t="s">
        <v>102</v>
      </c>
      <c r="E624" s="114">
        <v>1</v>
      </c>
      <c r="F624" s="12"/>
      <c r="G624" s="21">
        <f t="shared" si="46"/>
        <v>0</v>
      </c>
    </row>
    <row r="625" spans="1:7" ht="25.5">
      <c r="A625" s="77" t="s">
        <v>1777</v>
      </c>
      <c r="B625" s="6" t="s">
        <v>849</v>
      </c>
      <c r="C625" s="6" t="s">
        <v>850</v>
      </c>
      <c r="D625" s="77" t="s">
        <v>102</v>
      </c>
      <c r="E625" s="114">
        <v>1</v>
      </c>
      <c r="F625" s="12"/>
      <c r="G625" s="21">
        <f t="shared" si="46"/>
        <v>0</v>
      </c>
    </row>
    <row r="626" spans="1:7" ht="15">
      <c r="A626" s="77" t="s">
        <v>1778</v>
      </c>
      <c r="B626" s="6" t="s">
        <v>443</v>
      </c>
      <c r="C626" s="6" t="s">
        <v>851</v>
      </c>
      <c r="D626" s="77" t="s">
        <v>334</v>
      </c>
      <c r="E626" s="114">
        <v>1</v>
      </c>
      <c r="F626" s="12"/>
      <c r="G626" s="21">
        <f t="shared" si="46"/>
        <v>0</v>
      </c>
    </row>
    <row r="627" spans="1:7" ht="38.25">
      <c r="A627" s="77" t="s">
        <v>1779</v>
      </c>
      <c r="B627" s="6" t="s">
        <v>444</v>
      </c>
      <c r="C627" s="6" t="s">
        <v>445</v>
      </c>
      <c r="D627" s="77" t="s">
        <v>334</v>
      </c>
      <c r="E627" s="114">
        <v>1</v>
      </c>
      <c r="F627" s="12"/>
      <c r="G627" s="21">
        <f t="shared" si="46"/>
        <v>0</v>
      </c>
    </row>
    <row r="628" spans="1:7" ht="15">
      <c r="A628" s="77" t="s">
        <v>1780</v>
      </c>
      <c r="B628" s="6" t="s">
        <v>852</v>
      </c>
      <c r="C628" s="6" t="s">
        <v>853</v>
      </c>
      <c r="D628" s="77" t="s">
        <v>102</v>
      </c>
      <c r="E628" s="114">
        <v>3</v>
      </c>
      <c r="F628" s="12"/>
      <c r="G628" s="21">
        <f t="shared" si="46"/>
        <v>0</v>
      </c>
    </row>
    <row r="629" spans="1:7" ht="15">
      <c r="A629" s="77" t="s">
        <v>1781</v>
      </c>
      <c r="B629" s="6" t="s">
        <v>852</v>
      </c>
      <c r="C629" s="6" t="s">
        <v>854</v>
      </c>
      <c r="D629" s="77" t="s">
        <v>102</v>
      </c>
      <c r="E629" s="114">
        <v>1</v>
      </c>
      <c r="F629" s="12"/>
      <c r="G629" s="21">
        <f t="shared" si="46"/>
        <v>0</v>
      </c>
    </row>
    <row r="630" spans="1:7" ht="25.5">
      <c r="A630" s="77" t="s">
        <v>1782</v>
      </c>
      <c r="B630" s="6" t="s">
        <v>855</v>
      </c>
      <c r="C630" s="6" t="s">
        <v>856</v>
      </c>
      <c r="D630" s="77" t="s">
        <v>102</v>
      </c>
      <c r="E630" s="114">
        <v>1</v>
      </c>
      <c r="F630" s="12"/>
      <c r="G630" s="21">
        <f t="shared" si="46"/>
        <v>0</v>
      </c>
    </row>
    <row r="631" spans="1:7" ht="25.5">
      <c r="A631" s="77" t="s">
        <v>1783</v>
      </c>
      <c r="B631" s="6" t="s">
        <v>849</v>
      </c>
      <c r="C631" s="6" t="s">
        <v>857</v>
      </c>
      <c r="D631" s="77" t="s">
        <v>102</v>
      </c>
      <c r="E631" s="114">
        <v>2</v>
      </c>
      <c r="F631" s="12"/>
      <c r="G631" s="21">
        <f t="shared" si="46"/>
        <v>0</v>
      </c>
    </row>
    <row r="632" spans="1:7" ht="38.25">
      <c r="A632" s="77" t="s">
        <v>1784</v>
      </c>
      <c r="B632" s="6" t="s">
        <v>858</v>
      </c>
      <c r="C632" s="6" t="s">
        <v>859</v>
      </c>
      <c r="D632" s="77" t="s">
        <v>93</v>
      </c>
      <c r="E632" s="114">
        <v>0.5</v>
      </c>
      <c r="F632" s="12"/>
      <c r="G632" s="21">
        <f t="shared" si="46"/>
        <v>0</v>
      </c>
    </row>
    <row r="633" spans="1:7" ht="15">
      <c r="A633" s="77" t="s">
        <v>1785</v>
      </c>
      <c r="B633" s="6" t="s">
        <v>72</v>
      </c>
      <c r="C633" s="6" t="s">
        <v>860</v>
      </c>
      <c r="D633" s="77" t="s">
        <v>162</v>
      </c>
      <c r="E633" s="114">
        <v>1</v>
      </c>
      <c r="F633" s="12"/>
      <c r="G633" s="21">
        <f t="shared" si="46"/>
        <v>0</v>
      </c>
    </row>
    <row r="634" spans="1:7" ht="15">
      <c r="A634" s="61" t="s">
        <v>1410</v>
      </c>
      <c r="B634" s="138" t="s">
        <v>862</v>
      </c>
      <c r="C634" s="139"/>
      <c r="D634" s="61"/>
      <c r="E634" s="121"/>
      <c r="F634" s="65"/>
      <c r="G634" s="74">
        <f>SUM(G635:G645)</f>
        <v>0</v>
      </c>
    </row>
    <row r="635" spans="1:7" ht="25.5">
      <c r="A635" s="77" t="s">
        <v>1786</v>
      </c>
      <c r="B635" s="6" t="s">
        <v>287</v>
      </c>
      <c r="C635" s="6" t="s">
        <v>863</v>
      </c>
      <c r="D635" s="77" t="s">
        <v>20</v>
      </c>
      <c r="E635" s="114">
        <f>4*2</f>
        <v>8</v>
      </c>
      <c r="F635" s="12"/>
      <c r="G635" s="21">
        <f>E635*F635</f>
        <v>0</v>
      </c>
    </row>
    <row r="636" spans="1:7" ht="25.5">
      <c r="A636" s="77" t="s">
        <v>1787</v>
      </c>
      <c r="B636" s="6" t="s">
        <v>359</v>
      </c>
      <c r="C636" s="6" t="s">
        <v>864</v>
      </c>
      <c r="D636" s="77" t="s">
        <v>20</v>
      </c>
      <c r="E636" s="114">
        <f>4*2</f>
        <v>8</v>
      </c>
      <c r="F636" s="12"/>
      <c r="G636" s="21">
        <f t="shared" ref="G636:G645" si="47">E636*F636</f>
        <v>0</v>
      </c>
    </row>
    <row r="637" spans="1:7" ht="25.5">
      <c r="A637" s="77" t="s">
        <v>1788</v>
      </c>
      <c r="B637" s="6" t="s">
        <v>289</v>
      </c>
      <c r="C637" s="6" t="s">
        <v>865</v>
      </c>
      <c r="D637" s="77" t="s">
        <v>20</v>
      </c>
      <c r="E637" s="114">
        <f>4*2</f>
        <v>8</v>
      </c>
      <c r="F637" s="12"/>
      <c r="G637" s="21">
        <f t="shared" si="47"/>
        <v>0</v>
      </c>
    </row>
    <row r="638" spans="1:7" ht="25.5">
      <c r="A638" s="77" t="s">
        <v>1789</v>
      </c>
      <c r="B638" s="6" t="s">
        <v>291</v>
      </c>
      <c r="C638" s="6" t="s">
        <v>866</v>
      </c>
      <c r="D638" s="77" t="s">
        <v>20</v>
      </c>
      <c r="E638" s="114">
        <f>4*2</f>
        <v>8</v>
      </c>
      <c r="F638" s="12"/>
      <c r="G638" s="21">
        <f t="shared" si="47"/>
        <v>0</v>
      </c>
    </row>
    <row r="639" spans="1:7" ht="38.25">
      <c r="A639" s="77" t="s">
        <v>1790</v>
      </c>
      <c r="B639" s="6" t="s">
        <v>867</v>
      </c>
      <c r="C639" s="6" t="s">
        <v>868</v>
      </c>
      <c r="D639" s="77" t="s">
        <v>20</v>
      </c>
      <c r="E639" s="114">
        <f>4*2</f>
        <v>8</v>
      </c>
      <c r="F639" s="12"/>
      <c r="G639" s="21">
        <f t="shared" si="47"/>
        <v>0</v>
      </c>
    </row>
    <row r="640" spans="1:7" ht="38.25">
      <c r="A640" s="77" t="s">
        <v>1791</v>
      </c>
      <c r="B640" s="6" t="s">
        <v>869</v>
      </c>
      <c r="C640" s="6" t="s">
        <v>870</v>
      </c>
      <c r="D640" s="77" t="s">
        <v>20</v>
      </c>
      <c r="E640" s="114">
        <f>4*2+4.5*3*2+8*3</f>
        <v>59</v>
      </c>
      <c r="F640" s="12"/>
      <c r="G640" s="21">
        <f t="shared" si="47"/>
        <v>0</v>
      </c>
    </row>
    <row r="641" spans="1:7" ht="38.25">
      <c r="A641" s="77" t="s">
        <v>1792</v>
      </c>
      <c r="B641" s="6" t="s">
        <v>871</v>
      </c>
      <c r="C641" s="6" t="s">
        <v>872</v>
      </c>
      <c r="D641" s="77" t="s">
        <v>20</v>
      </c>
      <c r="E641" s="114">
        <f>4*2+4.5*3*2+8*3</f>
        <v>59</v>
      </c>
      <c r="F641" s="12"/>
      <c r="G641" s="21">
        <f t="shared" si="47"/>
        <v>0</v>
      </c>
    </row>
    <row r="642" spans="1:7" ht="25.5">
      <c r="A642" s="77" t="s">
        <v>1793</v>
      </c>
      <c r="B642" s="6" t="s">
        <v>287</v>
      </c>
      <c r="C642" s="6" t="s">
        <v>288</v>
      </c>
      <c r="D642" s="77" t="s">
        <v>20</v>
      </c>
      <c r="E642" s="114">
        <f>4*2</f>
        <v>8</v>
      </c>
      <c r="F642" s="12"/>
      <c r="G642" s="21">
        <f t="shared" si="47"/>
        <v>0</v>
      </c>
    </row>
    <row r="643" spans="1:7" ht="25.5">
      <c r="A643" s="77" t="s">
        <v>1794</v>
      </c>
      <c r="B643" s="6" t="s">
        <v>289</v>
      </c>
      <c r="C643" s="6" t="s">
        <v>290</v>
      </c>
      <c r="D643" s="77" t="s">
        <v>20</v>
      </c>
      <c r="E643" s="114">
        <f>4*2</f>
        <v>8</v>
      </c>
      <c r="F643" s="12"/>
      <c r="G643" s="21">
        <f t="shared" si="47"/>
        <v>0</v>
      </c>
    </row>
    <row r="644" spans="1:7" ht="25.5">
      <c r="A644" s="77" t="s">
        <v>1795</v>
      </c>
      <c r="B644" s="6" t="s">
        <v>291</v>
      </c>
      <c r="C644" s="6" t="s">
        <v>292</v>
      </c>
      <c r="D644" s="77" t="s">
        <v>20</v>
      </c>
      <c r="E644" s="114">
        <f>4*2</f>
        <v>8</v>
      </c>
      <c r="F644" s="12"/>
      <c r="G644" s="21">
        <f t="shared" si="47"/>
        <v>0</v>
      </c>
    </row>
    <row r="645" spans="1:7" ht="25.5">
      <c r="A645" s="77" t="s">
        <v>1796</v>
      </c>
      <c r="B645" s="6" t="s">
        <v>293</v>
      </c>
      <c r="C645" s="6" t="s">
        <v>294</v>
      </c>
      <c r="D645" s="77" t="s">
        <v>20</v>
      </c>
      <c r="E645" s="114">
        <f>4*2</f>
        <v>8</v>
      </c>
      <c r="F645" s="12"/>
      <c r="G645" s="21">
        <f t="shared" si="47"/>
        <v>0</v>
      </c>
    </row>
    <row r="646" spans="1:7" ht="15.75">
      <c r="A646" s="144" t="s">
        <v>1894</v>
      </c>
      <c r="B646" s="145"/>
      <c r="C646" s="146"/>
      <c r="D646" s="84"/>
      <c r="E646" s="116"/>
      <c r="F646" s="85"/>
      <c r="G646" s="85">
        <f>SUM(G647,G649,G674,G688,G695,G709,G719,G751,G775,G787,G808,G822,G828,G837,G848)</f>
        <v>0</v>
      </c>
    </row>
    <row r="647" spans="1:7">
      <c r="A647" s="37">
        <v>1</v>
      </c>
      <c r="B647" s="148" t="s">
        <v>96</v>
      </c>
      <c r="C647" s="149"/>
      <c r="D647" s="60"/>
      <c r="E647" s="123"/>
      <c r="F647" s="39"/>
      <c r="G647" s="39">
        <f>SUM(G648:G648)</f>
        <v>0</v>
      </c>
    </row>
    <row r="648" spans="1:7" ht="25.5">
      <c r="A648" s="34" t="s">
        <v>380</v>
      </c>
      <c r="B648" s="105" t="s">
        <v>1009</v>
      </c>
      <c r="C648" s="108" t="s">
        <v>2006</v>
      </c>
      <c r="D648" s="106" t="s">
        <v>162</v>
      </c>
      <c r="E648" s="127">
        <v>1</v>
      </c>
      <c r="F648" s="107"/>
      <c r="G648" s="107">
        <f>E648*F648</f>
        <v>0</v>
      </c>
    </row>
    <row r="649" spans="1:7">
      <c r="A649" s="37">
        <v>2</v>
      </c>
      <c r="B649" s="148" t="s">
        <v>875</v>
      </c>
      <c r="C649" s="149"/>
      <c r="D649" s="60"/>
      <c r="E649" s="123"/>
      <c r="F649" s="39"/>
      <c r="G649" s="39">
        <f>SUM(G650:G673)</f>
        <v>0</v>
      </c>
    </row>
    <row r="650" spans="1:7">
      <c r="A650" s="77" t="s">
        <v>95</v>
      </c>
      <c r="B650" s="6" t="s">
        <v>881</v>
      </c>
      <c r="C650" s="6" t="s">
        <v>882</v>
      </c>
      <c r="D650" s="7" t="s">
        <v>334</v>
      </c>
      <c r="E650" s="114">
        <v>5</v>
      </c>
      <c r="F650" s="12"/>
      <c r="G650" s="12">
        <f t="shared" ref="G650:G656" si="48">E650*F650</f>
        <v>0</v>
      </c>
    </row>
    <row r="651" spans="1:7">
      <c r="A651" s="77" t="s">
        <v>108</v>
      </c>
      <c r="B651" s="6" t="s">
        <v>881</v>
      </c>
      <c r="C651" s="6" t="s">
        <v>882</v>
      </c>
      <c r="D651" s="7" t="s">
        <v>334</v>
      </c>
      <c r="E651" s="114">
        <v>6</v>
      </c>
      <c r="F651" s="12"/>
      <c r="G651" s="12">
        <f t="shared" si="48"/>
        <v>0</v>
      </c>
    </row>
    <row r="652" spans="1:7">
      <c r="A652" s="77" t="s">
        <v>111</v>
      </c>
      <c r="B652" s="6" t="s">
        <v>883</v>
      </c>
      <c r="C652" s="6" t="s">
        <v>884</v>
      </c>
      <c r="D652" s="7" t="s">
        <v>334</v>
      </c>
      <c r="E652" s="114">
        <v>16</v>
      </c>
      <c r="F652" s="12"/>
      <c r="G652" s="12">
        <f t="shared" si="48"/>
        <v>0</v>
      </c>
    </row>
    <row r="653" spans="1:7">
      <c r="A653" s="77" t="s">
        <v>124</v>
      </c>
      <c r="B653" s="6" t="s">
        <v>883</v>
      </c>
      <c r="C653" s="6" t="s">
        <v>885</v>
      </c>
      <c r="D653" s="7" t="s">
        <v>334</v>
      </c>
      <c r="E653" s="114">
        <v>6</v>
      </c>
      <c r="F653" s="12"/>
      <c r="G653" s="12">
        <f t="shared" si="48"/>
        <v>0</v>
      </c>
    </row>
    <row r="654" spans="1:7">
      <c r="A654" s="77" t="s">
        <v>145</v>
      </c>
      <c r="B654" s="6" t="s">
        <v>883</v>
      </c>
      <c r="C654" s="6" t="s">
        <v>886</v>
      </c>
      <c r="D654" s="7" t="s">
        <v>334</v>
      </c>
      <c r="E654" s="114">
        <v>11</v>
      </c>
      <c r="F654" s="12"/>
      <c r="G654" s="12">
        <f t="shared" si="48"/>
        <v>0</v>
      </c>
    </row>
    <row r="655" spans="1:7">
      <c r="A655" s="77" t="s">
        <v>1513</v>
      </c>
      <c r="B655" s="6" t="s">
        <v>883</v>
      </c>
      <c r="C655" s="6" t="s">
        <v>886</v>
      </c>
      <c r="D655" s="7" t="s">
        <v>334</v>
      </c>
      <c r="E655" s="114">
        <v>4</v>
      </c>
      <c r="F655" s="12"/>
      <c r="G655" s="12">
        <f t="shared" si="48"/>
        <v>0</v>
      </c>
    </row>
    <row r="656" spans="1:7">
      <c r="A656" s="77" t="s">
        <v>1514</v>
      </c>
      <c r="B656" s="6" t="s">
        <v>883</v>
      </c>
      <c r="C656" s="6" t="s">
        <v>887</v>
      </c>
      <c r="D656" s="7" t="s">
        <v>334</v>
      </c>
      <c r="E656" s="114">
        <v>4</v>
      </c>
      <c r="F656" s="12"/>
      <c r="G656" s="12">
        <f t="shared" si="48"/>
        <v>0</v>
      </c>
    </row>
    <row r="657" spans="1:7" ht="38.25">
      <c r="A657" s="77" t="s">
        <v>1515</v>
      </c>
      <c r="B657" s="6" t="s">
        <v>888</v>
      </c>
      <c r="C657" s="6" t="s">
        <v>889</v>
      </c>
      <c r="D657" s="7" t="s">
        <v>102</v>
      </c>
      <c r="E657" s="114">
        <f>146-122</f>
        <v>24</v>
      </c>
      <c r="F657" s="12"/>
      <c r="G657" s="12">
        <f>E657*F657</f>
        <v>0</v>
      </c>
    </row>
    <row r="658" spans="1:7" ht="25.5">
      <c r="A658" s="77" t="s">
        <v>1516</v>
      </c>
      <c r="B658" s="6" t="s">
        <v>890</v>
      </c>
      <c r="C658" s="6" t="s">
        <v>891</v>
      </c>
      <c r="D658" s="7" t="s">
        <v>102</v>
      </c>
      <c r="E658" s="114">
        <v>15</v>
      </c>
      <c r="F658" s="12"/>
      <c r="G658" s="12">
        <f t="shared" ref="G658:G718" si="49">E658*F658</f>
        <v>0</v>
      </c>
    </row>
    <row r="659" spans="1:7">
      <c r="A659" s="77" t="s">
        <v>1517</v>
      </c>
      <c r="B659" s="6" t="s">
        <v>892</v>
      </c>
      <c r="C659" s="6" t="s">
        <v>893</v>
      </c>
      <c r="D659" s="7" t="s">
        <v>102</v>
      </c>
      <c r="E659" s="114">
        <v>45</v>
      </c>
      <c r="F659" s="12"/>
      <c r="G659" s="12">
        <f t="shared" si="49"/>
        <v>0</v>
      </c>
    </row>
    <row r="660" spans="1:7" ht="25.5">
      <c r="A660" s="77" t="s">
        <v>1620</v>
      </c>
      <c r="B660" s="6" t="s">
        <v>890</v>
      </c>
      <c r="C660" s="6" t="s">
        <v>891</v>
      </c>
      <c r="D660" s="7" t="s">
        <v>102</v>
      </c>
      <c r="E660" s="114">
        <v>25</v>
      </c>
      <c r="F660" s="12"/>
      <c r="G660" s="12">
        <f t="shared" si="49"/>
        <v>0</v>
      </c>
    </row>
    <row r="661" spans="1:7">
      <c r="A661" s="77" t="s">
        <v>1621</v>
      </c>
      <c r="B661" s="6" t="s">
        <v>894</v>
      </c>
      <c r="C661" s="6" t="s">
        <v>895</v>
      </c>
      <c r="D661" s="7" t="s">
        <v>102</v>
      </c>
      <c r="E661" s="114">
        <v>61</v>
      </c>
      <c r="F661" s="12"/>
      <c r="G661" s="12">
        <f t="shared" si="49"/>
        <v>0</v>
      </c>
    </row>
    <row r="662" spans="1:7" ht="25.5">
      <c r="A662" s="77" t="s">
        <v>1622</v>
      </c>
      <c r="B662" s="6" t="s">
        <v>896</v>
      </c>
      <c r="C662" s="6" t="s">
        <v>897</v>
      </c>
      <c r="D662" s="7" t="s">
        <v>102</v>
      </c>
      <c r="E662" s="114">
        <v>17</v>
      </c>
      <c r="F662" s="12"/>
      <c r="G662" s="12">
        <f t="shared" si="49"/>
        <v>0</v>
      </c>
    </row>
    <row r="663" spans="1:7" ht="25.5">
      <c r="A663" s="77" t="s">
        <v>1623</v>
      </c>
      <c r="B663" s="6" t="s">
        <v>896</v>
      </c>
      <c r="C663" s="6" t="s">
        <v>897</v>
      </c>
      <c r="D663" s="7" t="s">
        <v>102</v>
      </c>
      <c r="E663" s="114">
        <v>8</v>
      </c>
      <c r="F663" s="12"/>
      <c r="G663" s="12">
        <f t="shared" si="49"/>
        <v>0</v>
      </c>
    </row>
    <row r="664" spans="1:7">
      <c r="A664" s="77" t="s">
        <v>1624</v>
      </c>
      <c r="B664" s="6" t="s">
        <v>898</v>
      </c>
      <c r="C664" s="6" t="s">
        <v>899</v>
      </c>
      <c r="D664" s="7" t="s">
        <v>102</v>
      </c>
      <c r="E664" s="114">
        <v>4</v>
      </c>
      <c r="F664" s="12"/>
      <c r="G664" s="12">
        <f t="shared" si="49"/>
        <v>0</v>
      </c>
    </row>
    <row r="665" spans="1:7">
      <c r="A665" s="77" t="s">
        <v>1625</v>
      </c>
      <c r="B665" s="6" t="s">
        <v>900</v>
      </c>
      <c r="C665" s="6" t="s">
        <v>901</v>
      </c>
      <c r="D665" s="7" t="s">
        <v>102</v>
      </c>
      <c r="E665" s="114">
        <v>26</v>
      </c>
      <c r="F665" s="12"/>
      <c r="G665" s="12">
        <f t="shared" si="49"/>
        <v>0</v>
      </c>
    </row>
    <row r="666" spans="1:7">
      <c r="A666" s="77" t="s">
        <v>1626</v>
      </c>
      <c r="B666" s="6" t="s">
        <v>900</v>
      </c>
      <c r="C666" s="6" t="s">
        <v>901</v>
      </c>
      <c r="D666" s="7" t="s">
        <v>102</v>
      </c>
      <c r="E666" s="114">
        <v>4</v>
      </c>
      <c r="F666" s="12"/>
      <c r="G666" s="12">
        <f t="shared" si="49"/>
        <v>0</v>
      </c>
    </row>
    <row r="667" spans="1:7">
      <c r="A667" s="77" t="s">
        <v>1627</v>
      </c>
      <c r="B667" s="6" t="s">
        <v>902</v>
      </c>
      <c r="C667" s="6" t="s">
        <v>903</v>
      </c>
      <c r="D667" s="7" t="s">
        <v>102</v>
      </c>
      <c r="E667" s="114">
        <v>2</v>
      </c>
      <c r="F667" s="12"/>
      <c r="G667" s="12">
        <f t="shared" si="49"/>
        <v>0</v>
      </c>
    </row>
    <row r="668" spans="1:7">
      <c r="A668" s="77" t="s">
        <v>1628</v>
      </c>
      <c r="B668" s="6" t="s">
        <v>904</v>
      </c>
      <c r="C668" s="6" t="s">
        <v>905</v>
      </c>
      <c r="D668" s="7" t="s">
        <v>102</v>
      </c>
      <c r="E668" s="114">
        <v>61</v>
      </c>
      <c r="F668" s="12"/>
      <c r="G668" s="12">
        <f t="shared" si="49"/>
        <v>0</v>
      </c>
    </row>
    <row r="669" spans="1:7">
      <c r="A669" s="77" t="s">
        <v>2007</v>
      </c>
      <c r="B669" s="6" t="s">
        <v>906</v>
      </c>
      <c r="C669" s="6" t="s">
        <v>907</v>
      </c>
      <c r="D669" s="7" t="s">
        <v>102</v>
      </c>
      <c r="E669" s="114">
        <v>21</v>
      </c>
      <c r="F669" s="12"/>
      <c r="G669" s="12">
        <f t="shared" si="49"/>
        <v>0</v>
      </c>
    </row>
    <row r="670" spans="1:7">
      <c r="A670" s="77" t="s">
        <v>2008</v>
      </c>
      <c r="B670" s="6" t="s">
        <v>906</v>
      </c>
      <c r="C670" s="6" t="s">
        <v>908</v>
      </c>
      <c r="D670" s="7" t="s">
        <v>102</v>
      </c>
      <c r="E670" s="114">
        <v>4</v>
      </c>
      <c r="F670" s="12"/>
      <c r="G670" s="12">
        <f t="shared" si="49"/>
        <v>0</v>
      </c>
    </row>
    <row r="671" spans="1:7">
      <c r="A671" s="77" t="s">
        <v>2009</v>
      </c>
      <c r="B671" s="6" t="s">
        <v>909</v>
      </c>
      <c r="C671" s="6" t="s">
        <v>910</v>
      </c>
      <c r="D671" s="7" t="s">
        <v>93</v>
      </c>
      <c r="E671" s="114">
        <v>2000</v>
      </c>
      <c r="F671" s="12"/>
      <c r="G671" s="12">
        <f t="shared" si="49"/>
        <v>0</v>
      </c>
    </row>
    <row r="672" spans="1:7" ht="25.5">
      <c r="A672" s="77" t="s">
        <v>2010</v>
      </c>
      <c r="B672" s="6" t="s">
        <v>911</v>
      </c>
      <c r="C672" s="6" t="s">
        <v>913</v>
      </c>
      <c r="D672" s="7" t="s">
        <v>93</v>
      </c>
      <c r="E672" s="114">
        <v>1050</v>
      </c>
      <c r="F672" s="12"/>
      <c r="G672" s="12">
        <f t="shared" si="49"/>
        <v>0</v>
      </c>
    </row>
    <row r="673" spans="1:7" ht="38.25">
      <c r="A673" s="77" t="s">
        <v>2011</v>
      </c>
      <c r="B673" s="6" t="s">
        <v>911</v>
      </c>
      <c r="C673" s="6" t="s">
        <v>914</v>
      </c>
      <c r="D673" s="7" t="s">
        <v>93</v>
      </c>
      <c r="E673" s="114">
        <v>400</v>
      </c>
      <c r="F673" s="12"/>
      <c r="G673" s="12">
        <f t="shared" si="49"/>
        <v>0</v>
      </c>
    </row>
    <row r="674" spans="1:7">
      <c r="A674" s="37">
        <v>3</v>
      </c>
      <c r="B674" s="148" t="s">
        <v>915</v>
      </c>
      <c r="C674" s="149"/>
      <c r="D674" s="60"/>
      <c r="E674" s="123"/>
      <c r="F674" s="39"/>
      <c r="G674" s="39">
        <f>SUM(G675:G687)</f>
        <v>0</v>
      </c>
    </row>
    <row r="675" spans="1:7" ht="38.25">
      <c r="A675" s="77" t="s">
        <v>148</v>
      </c>
      <c r="B675" s="6" t="s">
        <v>888</v>
      </c>
      <c r="C675" s="6" t="s">
        <v>889</v>
      </c>
      <c r="D675" s="7" t="s">
        <v>102</v>
      </c>
      <c r="E675" s="114">
        <v>398</v>
      </c>
      <c r="F675" s="12"/>
      <c r="G675" s="12">
        <f t="shared" si="49"/>
        <v>0</v>
      </c>
    </row>
    <row r="676" spans="1:7">
      <c r="A676" s="77" t="s">
        <v>153</v>
      </c>
      <c r="B676" s="6" t="s">
        <v>894</v>
      </c>
      <c r="C676" s="6" t="s">
        <v>895</v>
      </c>
      <c r="D676" s="7" t="s">
        <v>102</v>
      </c>
      <c r="E676" s="114">
        <v>398</v>
      </c>
      <c r="F676" s="12"/>
      <c r="G676" s="12">
        <f t="shared" si="49"/>
        <v>0</v>
      </c>
    </row>
    <row r="677" spans="1:7" ht="38.25">
      <c r="A677" s="77" t="s">
        <v>163</v>
      </c>
      <c r="B677" s="6" t="s">
        <v>916</v>
      </c>
      <c r="C677" s="6" t="s">
        <v>917</v>
      </c>
      <c r="D677" s="7" t="s">
        <v>102</v>
      </c>
      <c r="E677" s="114">
        <v>93</v>
      </c>
      <c r="F677" s="12"/>
      <c r="G677" s="12">
        <f t="shared" si="49"/>
        <v>0</v>
      </c>
    </row>
    <row r="678" spans="1:7" ht="38.25">
      <c r="A678" s="77" t="s">
        <v>176</v>
      </c>
      <c r="B678" s="6" t="s">
        <v>916</v>
      </c>
      <c r="C678" s="6" t="s">
        <v>917</v>
      </c>
      <c r="D678" s="7" t="s">
        <v>102</v>
      </c>
      <c r="E678" s="114">
        <v>199</v>
      </c>
      <c r="F678" s="12"/>
      <c r="G678" s="12">
        <f t="shared" si="49"/>
        <v>0</v>
      </c>
    </row>
    <row r="679" spans="1:7" ht="38.25">
      <c r="A679" s="77" t="s">
        <v>1519</v>
      </c>
      <c r="B679" s="6" t="s">
        <v>916</v>
      </c>
      <c r="C679" s="6" t="s">
        <v>917</v>
      </c>
      <c r="D679" s="7" t="s">
        <v>102</v>
      </c>
      <c r="E679" s="114">
        <v>106</v>
      </c>
      <c r="F679" s="12"/>
      <c r="G679" s="12">
        <f t="shared" si="49"/>
        <v>0</v>
      </c>
    </row>
    <row r="680" spans="1:7" ht="38.25">
      <c r="A680" s="77" t="s">
        <v>1520</v>
      </c>
      <c r="B680" s="6" t="s">
        <v>918</v>
      </c>
      <c r="C680" s="6" t="s">
        <v>919</v>
      </c>
      <c r="D680" s="7" t="s">
        <v>102</v>
      </c>
      <c r="E680" s="114">
        <v>1</v>
      </c>
      <c r="F680" s="12"/>
      <c r="G680" s="12">
        <f t="shared" si="49"/>
        <v>0</v>
      </c>
    </row>
    <row r="681" spans="1:7" ht="25.5">
      <c r="A681" s="77" t="s">
        <v>1521</v>
      </c>
      <c r="B681" s="6" t="s">
        <v>920</v>
      </c>
      <c r="C681" s="6" t="s">
        <v>921</v>
      </c>
      <c r="D681" s="7" t="s">
        <v>102</v>
      </c>
      <c r="E681" s="114">
        <v>1</v>
      </c>
      <c r="F681" s="12"/>
      <c r="G681" s="12">
        <f t="shared" si="49"/>
        <v>0</v>
      </c>
    </row>
    <row r="682" spans="1:7">
      <c r="A682" s="77" t="s">
        <v>1522</v>
      </c>
      <c r="B682" s="6" t="s">
        <v>904</v>
      </c>
      <c r="C682" s="6" t="s">
        <v>905</v>
      </c>
      <c r="D682" s="7" t="s">
        <v>102</v>
      </c>
      <c r="E682" s="114">
        <v>48</v>
      </c>
      <c r="F682" s="12"/>
      <c r="G682" s="12">
        <f t="shared" si="49"/>
        <v>0</v>
      </c>
    </row>
    <row r="683" spans="1:7">
      <c r="A683" s="77" t="s">
        <v>1523</v>
      </c>
      <c r="B683" s="6" t="s">
        <v>904</v>
      </c>
      <c r="C683" s="6" t="s">
        <v>922</v>
      </c>
      <c r="D683" s="7" t="s">
        <v>102</v>
      </c>
      <c r="E683" s="114">
        <v>175</v>
      </c>
      <c r="F683" s="12"/>
      <c r="G683" s="12">
        <f t="shared" si="49"/>
        <v>0</v>
      </c>
    </row>
    <row r="684" spans="1:7" ht="25.5">
      <c r="A684" s="77" t="s">
        <v>1524</v>
      </c>
      <c r="B684" s="6" t="s">
        <v>923</v>
      </c>
      <c r="C684" s="6" t="s">
        <v>1690</v>
      </c>
      <c r="D684" s="7" t="s">
        <v>102</v>
      </c>
      <c r="E684" s="114">
        <v>10</v>
      </c>
      <c r="F684" s="12"/>
      <c r="G684" s="12">
        <f t="shared" si="49"/>
        <v>0</v>
      </c>
    </row>
    <row r="685" spans="1:7">
      <c r="A685" s="77" t="s">
        <v>1525</v>
      </c>
      <c r="B685" s="6" t="s">
        <v>909</v>
      </c>
      <c r="C685" s="6" t="s">
        <v>910</v>
      </c>
      <c r="D685" s="7" t="s">
        <v>93</v>
      </c>
      <c r="E685" s="114">
        <v>2700</v>
      </c>
      <c r="F685" s="12"/>
      <c r="G685" s="12">
        <f t="shared" si="49"/>
        <v>0</v>
      </c>
    </row>
    <row r="686" spans="1:7" ht="38.25">
      <c r="A686" s="77" t="s">
        <v>1526</v>
      </c>
      <c r="B686" s="6" t="s">
        <v>924</v>
      </c>
      <c r="C686" s="6" t="s">
        <v>925</v>
      </c>
      <c r="D686" s="7" t="s">
        <v>93</v>
      </c>
      <c r="E686" s="114">
        <v>50</v>
      </c>
      <c r="F686" s="12"/>
      <c r="G686" s="12">
        <f t="shared" si="49"/>
        <v>0</v>
      </c>
    </row>
    <row r="687" spans="1:7" ht="25.5">
      <c r="A687" s="77" t="s">
        <v>1527</v>
      </c>
      <c r="B687" s="6" t="s">
        <v>911</v>
      </c>
      <c r="C687" s="6" t="s">
        <v>913</v>
      </c>
      <c r="D687" s="7" t="s">
        <v>93</v>
      </c>
      <c r="E687" s="114">
        <v>2650</v>
      </c>
      <c r="F687" s="12"/>
      <c r="G687" s="12">
        <f t="shared" si="49"/>
        <v>0</v>
      </c>
    </row>
    <row r="688" spans="1:7">
      <c r="A688" s="37">
        <v>4</v>
      </c>
      <c r="B688" s="148" t="s">
        <v>926</v>
      </c>
      <c r="C688" s="149"/>
      <c r="D688" s="60"/>
      <c r="E688" s="128"/>
      <c r="F688" s="44"/>
      <c r="G688" s="44">
        <f>SUM(G689:G694)</f>
        <v>0</v>
      </c>
    </row>
    <row r="689" spans="1:7">
      <c r="A689" s="77" t="s">
        <v>191</v>
      </c>
      <c r="B689" s="6" t="s">
        <v>909</v>
      </c>
      <c r="C689" s="6" t="s">
        <v>910</v>
      </c>
      <c r="D689" s="7" t="s">
        <v>93</v>
      </c>
      <c r="E689" s="114">
        <v>300</v>
      </c>
      <c r="F689" s="12"/>
      <c r="G689" s="12">
        <f t="shared" si="49"/>
        <v>0</v>
      </c>
    </row>
    <row r="690" spans="1:7" ht="25.5">
      <c r="A690" s="77" t="s">
        <v>204</v>
      </c>
      <c r="B690" s="6" t="s">
        <v>911</v>
      </c>
      <c r="C690" s="6" t="s">
        <v>913</v>
      </c>
      <c r="D690" s="7" t="s">
        <v>93</v>
      </c>
      <c r="E690" s="114">
        <v>200</v>
      </c>
      <c r="F690" s="12"/>
      <c r="G690" s="12">
        <f t="shared" si="49"/>
        <v>0</v>
      </c>
    </row>
    <row r="691" spans="1:7" ht="25.5">
      <c r="A691" s="77" t="s">
        <v>210</v>
      </c>
      <c r="B691" s="6" t="s">
        <v>911</v>
      </c>
      <c r="C691" s="6" t="s">
        <v>913</v>
      </c>
      <c r="D691" s="7" t="s">
        <v>93</v>
      </c>
      <c r="E691" s="114">
        <v>100</v>
      </c>
      <c r="F691" s="12"/>
      <c r="G691" s="12">
        <f t="shared" si="49"/>
        <v>0</v>
      </c>
    </row>
    <row r="692" spans="1:7" ht="38.25">
      <c r="A692" s="77" t="s">
        <v>212</v>
      </c>
      <c r="B692" s="6" t="s">
        <v>923</v>
      </c>
      <c r="C692" s="6" t="s">
        <v>1936</v>
      </c>
      <c r="D692" s="7" t="s">
        <v>102</v>
      </c>
      <c r="E692" s="114">
        <v>20</v>
      </c>
      <c r="F692" s="12"/>
      <c r="G692" s="12">
        <f t="shared" si="49"/>
        <v>0</v>
      </c>
    </row>
    <row r="693" spans="1:7" ht="38.25">
      <c r="A693" s="77" t="s">
        <v>1596</v>
      </c>
      <c r="B693" s="6" t="s">
        <v>1009</v>
      </c>
      <c r="C693" s="6" t="s">
        <v>1931</v>
      </c>
      <c r="D693" s="7" t="s">
        <v>161</v>
      </c>
      <c r="E693" s="114">
        <v>1</v>
      </c>
      <c r="F693" s="12"/>
      <c r="G693" s="12">
        <f t="shared" si="49"/>
        <v>0</v>
      </c>
    </row>
    <row r="694" spans="1:7" ht="38.25">
      <c r="A694" s="77" t="s">
        <v>1597</v>
      </c>
      <c r="B694" s="6" t="s">
        <v>1009</v>
      </c>
      <c r="C694" s="6" t="s">
        <v>1932</v>
      </c>
      <c r="D694" s="7" t="s">
        <v>162</v>
      </c>
      <c r="E694" s="114">
        <v>1</v>
      </c>
      <c r="F694" s="12"/>
      <c r="G694" s="12">
        <f t="shared" si="49"/>
        <v>0</v>
      </c>
    </row>
    <row r="695" spans="1:7">
      <c r="A695" s="37">
        <v>5</v>
      </c>
      <c r="B695" s="148" t="s">
        <v>927</v>
      </c>
      <c r="C695" s="149"/>
      <c r="D695" s="60"/>
      <c r="E695" s="128"/>
      <c r="F695" s="44"/>
      <c r="G695" s="44">
        <f>SUM(G696:G708)</f>
        <v>0</v>
      </c>
    </row>
    <row r="696" spans="1:7">
      <c r="A696" s="77" t="s">
        <v>214</v>
      </c>
      <c r="B696" s="6" t="s">
        <v>928</v>
      </c>
      <c r="C696" s="6" t="s">
        <v>929</v>
      </c>
      <c r="D696" s="7" t="s">
        <v>7</v>
      </c>
      <c r="E696" s="114">
        <f>0.8*0.4*110</f>
        <v>35.20000000000001</v>
      </c>
      <c r="F696" s="12"/>
      <c r="G696" s="12">
        <f t="shared" si="49"/>
        <v>0</v>
      </c>
    </row>
    <row r="697" spans="1:7">
      <c r="A697" s="77" t="s">
        <v>215</v>
      </c>
      <c r="B697" s="6" t="s">
        <v>930</v>
      </c>
      <c r="C697" s="6" t="s">
        <v>931</v>
      </c>
      <c r="D697" s="7" t="s">
        <v>93</v>
      </c>
      <c r="E697" s="114">
        <f>30+25</f>
        <v>55</v>
      </c>
      <c r="F697" s="12"/>
      <c r="G697" s="12">
        <f t="shared" si="49"/>
        <v>0</v>
      </c>
    </row>
    <row r="698" spans="1:7" ht="25.5">
      <c r="A698" s="77" t="s">
        <v>216</v>
      </c>
      <c r="B698" s="6" t="s">
        <v>932</v>
      </c>
      <c r="C698" s="6" t="s">
        <v>933</v>
      </c>
      <c r="D698" s="7" t="s">
        <v>93</v>
      </c>
      <c r="E698" s="114">
        <v>110</v>
      </c>
      <c r="F698" s="12"/>
      <c r="G698" s="12">
        <f t="shared" si="49"/>
        <v>0</v>
      </c>
    </row>
    <row r="699" spans="1:7">
      <c r="A699" s="77" t="s">
        <v>217</v>
      </c>
      <c r="B699" s="6" t="s">
        <v>934</v>
      </c>
      <c r="C699" s="6" t="s">
        <v>935</v>
      </c>
      <c r="D699" s="7" t="s">
        <v>93</v>
      </c>
      <c r="E699" s="114">
        <v>25</v>
      </c>
      <c r="F699" s="12"/>
      <c r="G699" s="12">
        <f t="shared" si="49"/>
        <v>0</v>
      </c>
    </row>
    <row r="700" spans="1:7">
      <c r="A700" s="77" t="s">
        <v>1598</v>
      </c>
      <c r="B700" s="6" t="s">
        <v>936</v>
      </c>
      <c r="C700" s="6" t="s">
        <v>937</v>
      </c>
      <c r="D700" s="7" t="s">
        <v>93</v>
      </c>
      <c r="E700" s="114">
        <v>70</v>
      </c>
      <c r="F700" s="12"/>
      <c r="G700" s="12">
        <f t="shared" si="49"/>
        <v>0</v>
      </c>
    </row>
    <row r="701" spans="1:7" ht="25.5">
      <c r="A701" s="77" t="s">
        <v>1599</v>
      </c>
      <c r="B701" s="6" t="s">
        <v>938</v>
      </c>
      <c r="C701" s="6" t="s">
        <v>939</v>
      </c>
      <c r="D701" s="7" t="s">
        <v>102</v>
      </c>
      <c r="E701" s="114">
        <f>2*6</f>
        <v>12</v>
      </c>
      <c r="F701" s="12"/>
      <c r="G701" s="12">
        <f t="shared" si="49"/>
        <v>0</v>
      </c>
    </row>
    <row r="702" spans="1:7" ht="25.5">
      <c r="A702" s="77" t="s">
        <v>1633</v>
      </c>
      <c r="B702" s="6" t="s">
        <v>940</v>
      </c>
      <c r="C702" s="6" t="s">
        <v>941</v>
      </c>
      <c r="D702" s="7" t="s">
        <v>7</v>
      </c>
      <c r="E702" s="114">
        <f>0.6*0.4*110</f>
        <v>26.4</v>
      </c>
      <c r="F702" s="12"/>
      <c r="G702" s="12">
        <f t="shared" si="49"/>
        <v>0</v>
      </c>
    </row>
    <row r="703" spans="1:7" ht="25.5">
      <c r="A703" s="77" t="s">
        <v>1634</v>
      </c>
      <c r="B703" s="6" t="s">
        <v>942</v>
      </c>
      <c r="C703" s="6" t="s">
        <v>943</v>
      </c>
      <c r="D703" s="7" t="s">
        <v>93</v>
      </c>
      <c r="E703" s="114">
        <v>35</v>
      </c>
      <c r="F703" s="12"/>
      <c r="G703" s="12">
        <f t="shared" si="49"/>
        <v>0</v>
      </c>
    </row>
    <row r="704" spans="1:7">
      <c r="A704" s="77" t="s">
        <v>1635</v>
      </c>
      <c r="B704" s="6" t="s">
        <v>944</v>
      </c>
      <c r="C704" s="6" t="s">
        <v>945</v>
      </c>
      <c r="D704" s="7" t="s">
        <v>93</v>
      </c>
      <c r="E704" s="114">
        <v>90</v>
      </c>
      <c r="F704" s="12"/>
      <c r="G704" s="12">
        <f t="shared" si="49"/>
        <v>0</v>
      </c>
    </row>
    <row r="705" spans="1:7">
      <c r="A705" s="77" t="s">
        <v>2012</v>
      </c>
      <c r="B705" s="6" t="s">
        <v>946</v>
      </c>
      <c r="C705" s="6" t="s">
        <v>947</v>
      </c>
      <c r="D705" s="7" t="s">
        <v>102</v>
      </c>
      <c r="E705" s="114">
        <v>6</v>
      </c>
      <c r="F705" s="12"/>
      <c r="G705" s="12">
        <f t="shared" si="49"/>
        <v>0</v>
      </c>
    </row>
    <row r="706" spans="1:7" ht="38.25">
      <c r="A706" s="77" t="s">
        <v>2013</v>
      </c>
      <c r="B706" s="6" t="s">
        <v>948</v>
      </c>
      <c r="C706" s="6" t="s">
        <v>949</v>
      </c>
      <c r="D706" s="7" t="s">
        <v>950</v>
      </c>
      <c r="E706" s="114">
        <v>6</v>
      </c>
      <c r="F706" s="12"/>
      <c r="G706" s="12">
        <f t="shared" si="49"/>
        <v>0</v>
      </c>
    </row>
    <row r="707" spans="1:7">
      <c r="A707" s="77" t="s">
        <v>2014</v>
      </c>
      <c r="B707" s="6" t="s">
        <v>951</v>
      </c>
      <c r="C707" s="6" t="s">
        <v>952</v>
      </c>
      <c r="D707" s="7" t="s">
        <v>102</v>
      </c>
      <c r="E707" s="114">
        <v>6</v>
      </c>
      <c r="F707" s="12"/>
      <c r="G707" s="12">
        <f t="shared" si="49"/>
        <v>0</v>
      </c>
    </row>
    <row r="708" spans="1:7">
      <c r="A708" s="77" t="s">
        <v>2015</v>
      </c>
      <c r="B708" s="6" t="s">
        <v>906</v>
      </c>
      <c r="C708" s="6" t="s">
        <v>953</v>
      </c>
      <c r="D708" s="7" t="s">
        <v>102</v>
      </c>
      <c r="E708" s="114">
        <v>1</v>
      </c>
      <c r="F708" s="12"/>
      <c r="G708" s="12">
        <f t="shared" si="49"/>
        <v>0</v>
      </c>
    </row>
    <row r="709" spans="1:7">
      <c r="A709" s="37">
        <v>6</v>
      </c>
      <c r="B709" s="148" t="s">
        <v>954</v>
      </c>
      <c r="C709" s="149"/>
      <c r="D709" s="60"/>
      <c r="E709" s="128"/>
      <c r="F709" s="44"/>
      <c r="G709" s="44">
        <f>SUM(G710:G718)</f>
        <v>0</v>
      </c>
    </row>
    <row r="710" spans="1:7">
      <c r="A710" s="77" t="s">
        <v>221</v>
      </c>
      <c r="B710" s="6" t="s">
        <v>955</v>
      </c>
      <c r="C710" s="6" t="s">
        <v>956</v>
      </c>
      <c r="D710" s="7" t="s">
        <v>102</v>
      </c>
      <c r="E710" s="114">
        <v>1</v>
      </c>
      <c r="F710" s="12"/>
      <c r="G710" s="12">
        <f t="shared" si="49"/>
        <v>0</v>
      </c>
    </row>
    <row r="711" spans="1:7">
      <c r="A711" s="77" t="s">
        <v>685</v>
      </c>
      <c r="B711" s="6" t="s">
        <v>955</v>
      </c>
      <c r="C711" s="6" t="s">
        <v>957</v>
      </c>
      <c r="D711" s="7" t="s">
        <v>102</v>
      </c>
      <c r="E711" s="114">
        <v>7</v>
      </c>
      <c r="F711" s="12"/>
      <c r="G711" s="12">
        <f t="shared" si="49"/>
        <v>0</v>
      </c>
    </row>
    <row r="712" spans="1:7" ht="38.25">
      <c r="A712" s="77" t="s">
        <v>802</v>
      </c>
      <c r="B712" s="6" t="s">
        <v>888</v>
      </c>
      <c r="C712" s="6" t="s">
        <v>889</v>
      </c>
      <c r="D712" s="7" t="s">
        <v>102</v>
      </c>
      <c r="E712" s="114">
        <v>7</v>
      </c>
      <c r="F712" s="12"/>
      <c r="G712" s="12">
        <f t="shared" si="49"/>
        <v>0</v>
      </c>
    </row>
    <row r="713" spans="1:7">
      <c r="A713" s="77" t="s">
        <v>982</v>
      </c>
      <c r="B713" s="6" t="s">
        <v>894</v>
      </c>
      <c r="C713" s="6" t="s">
        <v>895</v>
      </c>
      <c r="D713" s="7" t="s">
        <v>102</v>
      </c>
      <c r="E713" s="114">
        <v>7</v>
      </c>
      <c r="F713" s="12"/>
      <c r="G713" s="12">
        <f t="shared" si="49"/>
        <v>0</v>
      </c>
    </row>
    <row r="714" spans="1:7">
      <c r="A714" s="77" t="s">
        <v>992</v>
      </c>
      <c r="B714" s="6" t="s">
        <v>958</v>
      </c>
      <c r="C714" s="6" t="s">
        <v>959</v>
      </c>
      <c r="D714" s="7" t="s">
        <v>102</v>
      </c>
      <c r="E714" s="114">
        <v>45</v>
      </c>
      <c r="F714" s="12"/>
      <c r="G714" s="12">
        <f t="shared" si="49"/>
        <v>0</v>
      </c>
    </row>
    <row r="715" spans="1:7" ht="25.5">
      <c r="A715" s="77" t="s">
        <v>1487</v>
      </c>
      <c r="B715" s="6" t="s">
        <v>960</v>
      </c>
      <c r="C715" s="6" t="s">
        <v>961</v>
      </c>
      <c r="D715" s="7" t="s">
        <v>93</v>
      </c>
      <c r="E715" s="114">
        <v>20</v>
      </c>
      <c r="F715" s="12"/>
      <c r="G715" s="12">
        <f t="shared" si="49"/>
        <v>0</v>
      </c>
    </row>
    <row r="716" spans="1:7">
      <c r="A716" s="77" t="s">
        <v>1488</v>
      </c>
      <c r="B716" s="6" t="s">
        <v>909</v>
      </c>
      <c r="C716" s="6" t="s">
        <v>910</v>
      </c>
      <c r="D716" s="7" t="s">
        <v>93</v>
      </c>
      <c r="E716" s="114">
        <v>650</v>
      </c>
      <c r="F716" s="12"/>
      <c r="G716" s="12">
        <f t="shared" si="49"/>
        <v>0</v>
      </c>
    </row>
    <row r="717" spans="1:7" ht="38.25">
      <c r="A717" s="77" t="s">
        <v>1489</v>
      </c>
      <c r="B717" s="6" t="s">
        <v>924</v>
      </c>
      <c r="C717" s="6" t="s">
        <v>962</v>
      </c>
      <c r="D717" s="7" t="s">
        <v>93</v>
      </c>
      <c r="E717" s="114">
        <v>250</v>
      </c>
      <c r="F717" s="12"/>
      <c r="G717" s="12">
        <f t="shared" si="49"/>
        <v>0</v>
      </c>
    </row>
    <row r="718" spans="1:7" ht="38.25">
      <c r="A718" s="77" t="s">
        <v>1490</v>
      </c>
      <c r="B718" s="6" t="s">
        <v>963</v>
      </c>
      <c r="C718" s="6" t="s">
        <v>964</v>
      </c>
      <c r="D718" s="7" t="s">
        <v>93</v>
      </c>
      <c r="E718" s="114">
        <v>400</v>
      </c>
      <c r="F718" s="12"/>
      <c r="G718" s="12">
        <f t="shared" si="49"/>
        <v>0</v>
      </c>
    </row>
    <row r="719" spans="1:7">
      <c r="A719" s="37">
        <v>7</v>
      </c>
      <c r="B719" s="148" t="s">
        <v>965</v>
      </c>
      <c r="C719" s="149"/>
      <c r="D719" s="60"/>
      <c r="E719" s="128"/>
      <c r="F719" s="44"/>
      <c r="G719" s="44">
        <f>SUM(G720,G725,G729,G733,G740)</f>
        <v>0</v>
      </c>
    </row>
    <row r="720" spans="1:7">
      <c r="A720" s="61" t="s">
        <v>810</v>
      </c>
      <c r="B720" s="138" t="s">
        <v>966</v>
      </c>
      <c r="C720" s="139"/>
      <c r="D720" s="72"/>
      <c r="E720" s="129"/>
      <c r="F720" s="75"/>
      <c r="G720" s="75">
        <f>SUM(G721:G724)</f>
        <v>0</v>
      </c>
    </row>
    <row r="721" spans="1:7">
      <c r="A721" s="77" t="s">
        <v>1569</v>
      </c>
      <c r="B721" s="6" t="s">
        <v>909</v>
      </c>
      <c r="C721" s="6" t="s">
        <v>910</v>
      </c>
      <c r="D721" s="7" t="s">
        <v>93</v>
      </c>
      <c r="E721" s="114">
        <v>50</v>
      </c>
      <c r="F721" s="12"/>
      <c r="G721" s="12">
        <f t="shared" ref="G721:G793" si="50">E721*F721</f>
        <v>0</v>
      </c>
    </row>
    <row r="722" spans="1:7" ht="25.5">
      <c r="A722" s="77" t="s">
        <v>1560</v>
      </c>
      <c r="B722" s="6" t="s">
        <v>911</v>
      </c>
      <c r="C722" s="6" t="s">
        <v>913</v>
      </c>
      <c r="D722" s="7" t="s">
        <v>93</v>
      </c>
      <c r="E722" s="114">
        <v>50</v>
      </c>
      <c r="F722" s="12"/>
      <c r="G722" s="12">
        <f t="shared" si="50"/>
        <v>0</v>
      </c>
    </row>
    <row r="723" spans="1:7" ht="38.25">
      <c r="A723" s="77" t="s">
        <v>1561</v>
      </c>
      <c r="B723" s="6" t="s">
        <v>888</v>
      </c>
      <c r="C723" s="6" t="s">
        <v>889</v>
      </c>
      <c r="D723" s="7" t="s">
        <v>102</v>
      </c>
      <c r="E723" s="114">
        <v>2</v>
      </c>
      <c r="F723" s="12"/>
      <c r="G723" s="12">
        <f t="shared" si="50"/>
        <v>0</v>
      </c>
    </row>
    <row r="724" spans="1:7">
      <c r="A724" s="77" t="s">
        <v>1567</v>
      </c>
      <c r="B724" s="6" t="s">
        <v>902</v>
      </c>
      <c r="C724" s="6" t="s">
        <v>967</v>
      </c>
      <c r="D724" s="7" t="s">
        <v>102</v>
      </c>
      <c r="E724" s="114">
        <v>2</v>
      </c>
      <c r="F724" s="12"/>
      <c r="G724" s="12">
        <f t="shared" si="50"/>
        <v>0</v>
      </c>
    </row>
    <row r="725" spans="1:7">
      <c r="A725" s="61" t="s">
        <v>818</v>
      </c>
      <c r="B725" s="138" t="s">
        <v>968</v>
      </c>
      <c r="C725" s="139"/>
      <c r="D725" s="72"/>
      <c r="E725" s="129"/>
      <c r="F725" s="75"/>
      <c r="G725" s="75">
        <f>SUM(G726:G728)</f>
        <v>0</v>
      </c>
    </row>
    <row r="726" spans="1:7">
      <c r="A726" s="77" t="s">
        <v>1562</v>
      </c>
      <c r="B726" s="6" t="s">
        <v>969</v>
      </c>
      <c r="C726" s="6" t="s">
        <v>970</v>
      </c>
      <c r="D726" s="7" t="s">
        <v>93</v>
      </c>
      <c r="E726" s="114">
        <v>20</v>
      </c>
      <c r="F726" s="12"/>
      <c r="G726" s="12">
        <f t="shared" si="50"/>
        <v>0</v>
      </c>
    </row>
    <row r="727" spans="1:7" ht="25.5">
      <c r="A727" s="77" t="s">
        <v>1563</v>
      </c>
      <c r="B727" s="6" t="s">
        <v>971</v>
      </c>
      <c r="C727" s="6" t="s">
        <v>972</v>
      </c>
      <c r="D727" s="7" t="s">
        <v>93</v>
      </c>
      <c r="E727" s="114">
        <v>20</v>
      </c>
      <c r="F727" s="12"/>
      <c r="G727" s="12">
        <f t="shared" si="50"/>
        <v>0</v>
      </c>
    </row>
    <row r="728" spans="1:7" ht="25.5">
      <c r="A728" s="77" t="s">
        <v>1564</v>
      </c>
      <c r="B728" s="6" t="s">
        <v>973</v>
      </c>
      <c r="C728" s="6" t="s">
        <v>974</v>
      </c>
      <c r="D728" s="7" t="s">
        <v>102</v>
      </c>
      <c r="E728" s="114">
        <f>2*2</f>
        <v>4</v>
      </c>
      <c r="F728" s="12"/>
      <c r="G728" s="12">
        <f t="shared" si="50"/>
        <v>0</v>
      </c>
    </row>
    <row r="729" spans="1:7">
      <c r="A729" s="61" t="s">
        <v>1409</v>
      </c>
      <c r="B729" s="138" t="s">
        <v>975</v>
      </c>
      <c r="C729" s="139"/>
      <c r="D729" s="72"/>
      <c r="E729" s="129"/>
      <c r="F729" s="75"/>
      <c r="G729" s="75">
        <f>SUM(G730:G732)</f>
        <v>0</v>
      </c>
    </row>
    <row r="730" spans="1:7" ht="38.25">
      <c r="A730" s="77" t="s">
        <v>1772</v>
      </c>
      <c r="B730" s="6" t="s">
        <v>976</v>
      </c>
      <c r="C730" s="6" t="s">
        <v>977</v>
      </c>
      <c r="D730" s="7" t="s">
        <v>7</v>
      </c>
      <c r="E730" s="114">
        <v>0.05</v>
      </c>
      <c r="F730" s="12"/>
      <c r="G730" s="12">
        <f t="shared" si="50"/>
        <v>0</v>
      </c>
    </row>
    <row r="731" spans="1:7">
      <c r="A731" s="77" t="s">
        <v>1773</v>
      </c>
      <c r="B731" s="6" t="s">
        <v>978</v>
      </c>
      <c r="C731" s="6" t="s">
        <v>979</v>
      </c>
      <c r="D731" s="7" t="s">
        <v>102</v>
      </c>
      <c r="E731" s="114">
        <v>1</v>
      </c>
      <c r="F731" s="12"/>
      <c r="G731" s="12">
        <f t="shared" si="50"/>
        <v>0</v>
      </c>
    </row>
    <row r="732" spans="1:7" ht="25.5">
      <c r="A732" s="77" t="s">
        <v>1774</v>
      </c>
      <c r="B732" s="6" t="s">
        <v>980</v>
      </c>
      <c r="C732" s="6" t="s">
        <v>981</v>
      </c>
      <c r="D732" s="7" t="s">
        <v>161</v>
      </c>
      <c r="E732" s="114">
        <v>1</v>
      </c>
      <c r="F732" s="12"/>
      <c r="G732" s="12">
        <f t="shared" si="50"/>
        <v>0</v>
      </c>
    </row>
    <row r="733" spans="1:7">
      <c r="A733" s="61" t="s">
        <v>1410</v>
      </c>
      <c r="B733" s="138" t="s">
        <v>983</v>
      </c>
      <c r="C733" s="139"/>
      <c r="D733" s="72"/>
      <c r="E733" s="129"/>
      <c r="F733" s="75"/>
      <c r="G733" s="75">
        <f>SUM(G734:G739)</f>
        <v>0</v>
      </c>
    </row>
    <row r="734" spans="1:7">
      <c r="A734" s="77" t="s">
        <v>1786</v>
      </c>
      <c r="B734" s="6" t="s">
        <v>969</v>
      </c>
      <c r="C734" s="6" t="s">
        <v>970</v>
      </c>
      <c r="D734" s="7" t="s">
        <v>93</v>
      </c>
      <c r="E734" s="114">
        <v>30</v>
      </c>
      <c r="F734" s="12"/>
      <c r="G734" s="12">
        <f t="shared" si="50"/>
        <v>0</v>
      </c>
    </row>
    <row r="735" spans="1:7" ht="25.5">
      <c r="A735" s="77" t="s">
        <v>1787</v>
      </c>
      <c r="B735" s="6" t="s">
        <v>984</v>
      </c>
      <c r="C735" s="6" t="s">
        <v>985</v>
      </c>
      <c r="D735" s="7" t="s">
        <v>93</v>
      </c>
      <c r="E735" s="114">
        <v>30</v>
      </c>
      <c r="F735" s="12"/>
      <c r="G735" s="12">
        <f t="shared" si="50"/>
        <v>0</v>
      </c>
    </row>
    <row r="736" spans="1:7" ht="25.5">
      <c r="A736" s="77" t="s">
        <v>1788</v>
      </c>
      <c r="B736" s="6" t="s">
        <v>986</v>
      </c>
      <c r="C736" s="6" t="s">
        <v>987</v>
      </c>
      <c r="D736" s="7" t="s">
        <v>102</v>
      </c>
      <c r="E736" s="114">
        <f>2*2</f>
        <v>4</v>
      </c>
      <c r="F736" s="12"/>
      <c r="G736" s="12">
        <f t="shared" si="50"/>
        <v>0</v>
      </c>
    </row>
    <row r="737" spans="1:7">
      <c r="A737" s="77" t="s">
        <v>1789</v>
      </c>
      <c r="B737" s="6" t="s">
        <v>988</v>
      </c>
      <c r="C737" s="6" t="s">
        <v>989</v>
      </c>
      <c r="D737" s="7" t="s">
        <v>93</v>
      </c>
      <c r="E737" s="114">
        <v>140</v>
      </c>
      <c r="F737" s="12"/>
      <c r="G737" s="12">
        <f t="shared" si="50"/>
        <v>0</v>
      </c>
    </row>
    <row r="738" spans="1:7" ht="25.5">
      <c r="A738" s="77" t="s">
        <v>1790</v>
      </c>
      <c r="B738" s="6" t="s">
        <v>924</v>
      </c>
      <c r="C738" s="6" t="s">
        <v>990</v>
      </c>
      <c r="D738" s="7" t="s">
        <v>93</v>
      </c>
      <c r="E738" s="114">
        <v>120</v>
      </c>
      <c r="F738" s="12"/>
      <c r="G738" s="12">
        <f t="shared" si="50"/>
        <v>0</v>
      </c>
    </row>
    <row r="739" spans="1:7" ht="38.25">
      <c r="A739" s="77" t="s">
        <v>1791</v>
      </c>
      <c r="B739" s="6" t="s">
        <v>924</v>
      </c>
      <c r="C739" s="6" t="s">
        <v>991</v>
      </c>
      <c r="D739" s="7" t="s">
        <v>93</v>
      </c>
      <c r="E739" s="114">
        <v>20</v>
      </c>
      <c r="F739" s="12"/>
      <c r="G739" s="12">
        <f t="shared" si="50"/>
        <v>0</v>
      </c>
    </row>
    <row r="740" spans="1:7">
      <c r="A740" s="61" t="s">
        <v>1411</v>
      </c>
      <c r="B740" s="138" t="s">
        <v>993</v>
      </c>
      <c r="C740" s="139"/>
      <c r="D740" s="72"/>
      <c r="E740" s="129"/>
      <c r="F740" s="75"/>
      <c r="G740" s="75">
        <f>SUM(G741:G750)</f>
        <v>0</v>
      </c>
    </row>
    <row r="741" spans="1:7" ht="25.5">
      <c r="A741" s="77" t="s">
        <v>2016</v>
      </c>
      <c r="B741" s="6" t="s">
        <v>976</v>
      </c>
      <c r="C741" s="6" t="s">
        <v>994</v>
      </c>
      <c r="D741" s="7" t="s">
        <v>7</v>
      </c>
      <c r="E741" s="114">
        <v>0.35</v>
      </c>
      <c r="F741" s="12"/>
      <c r="G741" s="12">
        <f t="shared" si="50"/>
        <v>0</v>
      </c>
    </row>
    <row r="742" spans="1:7">
      <c r="A742" s="77" t="s">
        <v>2017</v>
      </c>
      <c r="B742" s="6" t="s">
        <v>978</v>
      </c>
      <c r="C742" s="6" t="s">
        <v>979</v>
      </c>
      <c r="D742" s="7" t="s">
        <v>102</v>
      </c>
      <c r="E742" s="114">
        <v>1</v>
      </c>
      <c r="F742" s="12"/>
      <c r="G742" s="12">
        <f t="shared" si="50"/>
        <v>0</v>
      </c>
    </row>
    <row r="743" spans="1:7">
      <c r="A743" s="77" t="s">
        <v>2018</v>
      </c>
      <c r="B743" s="6" t="s">
        <v>978</v>
      </c>
      <c r="C743" s="6" t="s">
        <v>979</v>
      </c>
      <c r="D743" s="7" t="s">
        <v>102</v>
      </c>
      <c r="E743" s="114">
        <v>1</v>
      </c>
      <c r="F743" s="12"/>
      <c r="G743" s="12">
        <f t="shared" si="50"/>
        <v>0</v>
      </c>
    </row>
    <row r="744" spans="1:7">
      <c r="A744" s="77" t="s">
        <v>2019</v>
      </c>
      <c r="B744" s="6" t="s">
        <v>978</v>
      </c>
      <c r="C744" s="6" t="s">
        <v>979</v>
      </c>
      <c r="D744" s="7" t="s">
        <v>102</v>
      </c>
      <c r="E744" s="114">
        <v>1</v>
      </c>
      <c r="F744" s="12"/>
      <c r="G744" s="12">
        <f t="shared" si="50"/>
        <v>0</v>
      </c>
    </row>
    <row r="745" spans="1:7">
      <c r="A745" s="77" t="s">
        <v>2020</v>
      </c>
      <c r="B745" s="6" t="s">
        <v>995</v>
      </c>
      <c r="C745" s="6" t="s">
        <v>996</v>
      </c>
      <c r="D745" s="7" t="s">
        <v>102</v>
      </c>
      <c r="E745" s="114">
        <v>1</v>
      </c>
      <c r="F745" s="12"/>
      <c r="G745" s="12">
        <f t="shared" si="50"/>
        <v>0</v>
      </c>
    </row>
    <row r="746" spans="1:7">
      <c r="A746" s="77" t="s">
        <v>2021</v>
      </c>
      <c r="B746" s="6" t="s">
        <v>995</v>
      </c>
      <c r="C746" s="6" t="s">
        <v>996</v>
      </c>
      <c r="D746" s="7" t="s">
        <v>102</v>
      </c>
      <c r="E746" s="114">
        <v>1</v>
      </c>
      <c r="F746" s="12"/>
      <c r="G746" s="12">
        <f t="shared" si="50"/>
        <v>0</v>
      </c>
    </row>
    <row r="747" spans="1:7">
      <c r="A747" s="77" t="s">
        <v>2022</v>
      </c>
      <c r="B747" s="6" t="s">
        <v>995</v>
      </c>
      <c r="C747" s="6" t="s">
        <v>996</v>
      </c>
      <c r="D747" s="7" t="s">
        <v>102</v>
      </c>
      <c r="E747" s="114">
        <v>1</v>
      </c>
      <c r="F747" s="12"/>
      <c r="G747" s="12">
        <f t="shared" si="50"/>
        <v>0</v>
      </c>
    </row>
    <row r="748" spans="1:7">
      <c r="A748" s="77" t="s">
        <v>2023</v>
      </c>
      <c r="B748" s="6" t="s">
        <v>995</v>
      </c>
      <c r="C748" s="6" t="s">
        <v>996</v>
      </c>
      <c r="D748" s="7" t="s">
        <v>102</v>
      </c>
      <c r="E748" s="114">
        <v>1</v>
      </c>
      <c r="F748" s="12"/>
      <c r="G748" s="12">
        <f t="shared" si="50"/>
        <v>0</v>
      </c>
    </row>
    <row r="749" spans="1:7">
      <c r="A749" s="77" t="s">
        <v>2024</v>
      </c>
      <c r="B749" s="6" t="s">
        <v>995</v>
      </c>
      <c r="C749" s="6" t="s">
        <v>996</v>
      </c>
      <c r="D749" s="7" t="s">
        <v>102</v>
      </c>
      <c r="E749" s="114">
        <v>1</v>
      </c>
      <c r="F749" s="12"/>
      <c r="G749" s="12">
        <f t="shared" si="50"/>
        <v>0</v>
      </c>
    </row>
    <row r="750" spans="1:7" ht="25.5">
      <c r="A750" s="77" t="s">
        <v>2025</v>
      </c>
      <c r="B750" s="6" t="s">
        <v>980</v>
      </c>
      <c r="C750" s="6" t="s">
        <v>981</v>
      </c>
      <c r="D750" s="7" t="s">
        <v>161</v>
      </c>
      <c r="E750" s="114">
        <v>8</v>
      </c>
      <c r="F750" s="12"/>
      <c r="G750" s="12">
        <f t="shared" si="50"/>
        <v>0</v>
      </c>
    </row>
    <row r="751" spans="1:7">
      <c r="A751" s="37">
        <v>8</v>
      </c>
      <c r="B751" s="148" t="s">
        <v>997</v>
      </c>
      <c r="C751" s="149"/>
      <c r="D751" s="60"/>
      <c r="E751" s="128"/>
      <c r="F751" s="44"/>
      <c r="G751" s="44">
        <f>SUM(G752:G774)</f>
        <v>0</v>
      </c>
    </row>
    <row r="752" spans="1:7" ht="38.25">
      <c r="A752" s="77" t="s">
        <v>820</v>
      </c>
      <c r="B752" s="6" t="s">
        <v>888</v>
      </c>
      <c r="C752" s="6" t="s">
        <v>889</v>
      </c>
      <c r="D752" s="7" t="s">
        <v>102</v>
      </c>
      <c r="E752" s="114">
        <v>61</v>
      </c>
      <c r="F752" s="12"/>
      <c r="G752" s="12">
        <f t="shared" si="50"/>
        <v>0</v>
      </c>
    </row>
    <row r="753" spans="1:9">
      <c r="A753" s="77" t="s">
        <v>830</v>
      </c>
      <c r="B753" s="6" t="s">
        <v>894</v>
      </c>
      <c r="C753" s="6" t="s">
        <v>895</v>
      </c>
      <c r="D753" s="7" t="s">
        <v>102</v>
      </c>
      <c r="E753" s="114">
        <v>61</v>
      </c>
      <c r="F753" s="12"/>
      <c r="G753" s="12">
        <f t="shared" si="50"/>
        <v>0</v>
      </c>
    </row>
    <row r="754" spans="1:9">
      <c r="A754" s="77" t="s">
        <v>836</v>
      </c>
      <c r="B754" s="6" t="s">
        <v>998</v>
      </c>
      <c r="C754" s="6" t="s">
        <v>999</v>
      </c>
      <c r="D754" s="7" t="s">
        <v>102</v>
      </c>
      <c r="E754" s="114">
        <v>52</v>
      </c>
      <c r="F754" s="12"/>
      <c r="G754" s="12">
        <f t="shared" si="50"/>
        <v>0</v>
      </c>
    </row>
    <row r="755" spans="1:9" ht="38.25">
      <c r="A755" s="77" t="s">
        <v>861</v>
      </c>
      <c r="B755" s="6" t="s">
        <v>1000</v>
      </c>
      <c r="C755" s="6" t="s">
        <v>1001</v>
      </c>
      <c r="D755" s="7" t="s">
        <v>102</v>
      </c>
      <c r="E755" s="114">
        <v>52</v>
      </c>
      <c r="F755" s="12"/>
      <c r="G755" s="12">
        <f t="shared" si="50"/>
        <v>0</v>
      </c>
    </row>
    <row r="756" spans="1:9">
      <c r="A756" s="77" t="s">
        <v>1419</v>
      </c>
      <c r="B756" s="6" t="s">
        <v>916</v>
      </c>
      <c r="C756" s="6" t="s">
        <v>1002</v>
      </c>
      <c r="D756" s="7" t="s">
        <v>102</v>
      </c>
      <c r="E756" s="114">
        <v>9</v>
      </c>
      <c r="F756" s="12"/>
      <c r="G756" s="12">
        <f t="shared" si="50"/>
        <v>0</v>
      </c>
    </row>
    <row r="757" spans="1:9" ht="25.5">
      <c r="A757" s="77" t="s">
        <v>1420</v>
      </c>
      <c r="B757" s="6" t="s">
        <v>1003</v>
      </c>
      <c r="C757" s="6" t="s">
        <v>1004</v>
      </c>
      <c r="D757" s="7" t="s">
        <v>334</v>
      </c>
      <c r="E757" s="114">
        <v>1</v>
      </c>
      <c r="F757" s="12"/>
      <c r="G757" s="12">
        <f t="shared" si="50"/>
        <v>0</v>
      </c>
    </row>
    <row r="758" spans="1:9">
      <c r="A758" s="77" t="s">
        <v>1421</v>
      </c>
      <c r="B758" s="6" t="s">
        <v>1005</v>
      </c>
      <c r="C758" s="6" t="s">
        <v>1006</v>
      </c>
      <c r="D758" s="7" t="s">
        <v>102</v>
      </c>
      <c r="E758" s="114">
        <v>4</v>
      </c>
      <c r="F758" s="12"/>
      <c r="G758" s="12">
        <f t="shared" si="50"/>
        <v>0</v>
      </c>
    </row>
    <row r="759" spans="1:9" ht="25.5">
      <c r="A759" s="77" t="s">
        <v>1422</v>
      </c>
      <c r="B759" s="6" t="s">
        <v>1007</v>
      </c>
      <c r="C759" s="6" t="s">
        <v>1008</v>
      </c>
      <c r="D759" s="7" t="s">
        <v>334</v>
      </c>
      <c r="E759" s="114">
        <v>1</v>
      </c>
      <c r="F759" s="12"/>
      <c r="G759" s="12">
        <f t="shared" si="50"/>
        <v>0</v>
      </c>
      <c r="I759" s="31"/>
    </row>
    <row r="760" spans="1:9">
      <c r="A760" s="77" t="s">
        <v>1423</v>
      </c>
      <c r="B760" s="33" t="s">
        <v>1009</v>
      </c>
      <c r="C760" s="91" t="s">
        <v>1909</v>
      </c>
      <c r="D760" s="7" t="s">
        <v>162</v>
      </c>
      <c r="E760" s="114">
        <v>1</v>
      </c>
      <c r="F760" s="12"/>
      <c r="G760" s="12">
        <f t="shared" si="50"/>
        <v>0</v>
      </c>
      <c r="I760" s="92"/>
    </row>
    <row r="761" spans="1:9">
      <c r="A761" s="77" t="s">
        <v>1424</v>
      </c>
      <c r="B761" s="33" t="s">
        <v>1009</v>
      </c>
      <c r="C761" s="91" t="s">
        <v>1910</v>
      </c>
      <c r="D761" s="7" t="s">
        <v>162</v>
      </c>
      <c r="E761" s="114">
        <v>1</v>
      </c>
      <c r="F761" s="12"/>
      <c r="G761" s="12">
        <f t="shared" si="50"/>
        <v>0</v>
      </c>
      <c r="I761" s="92"/>
    </row>
    <row r="762" spans="1:9">
      <c r="A762" s="77" t="s">
        <v>1425</v>
      </c>
      <c r="B762" s="6" t="s">
        <v>1011</v>
      </c>
      <c r="C762" s="91" t="s">
        <v>1905</v>
      </c>
      <c r="D762" s="7" t="s">
        <v>162</v>
      </c>
      <c r="E762" s="114">
        <v>48</v>
      </c>
      <c r="F762" s="12"/>
      <c r="G762" s="12">
        <f t="shared" si="50"/>
        <v>0</v>
      </c>
      <c r="I762" s="92"/>
    </row>
    <row r="763" spans="1:9">
      <c r="A763" s="77" t="s">
        <v>2026</v>
      </c>
      <c r="B763" s="6" t="s">
        <v>1011</v>
      </c>
      <c r="C763" s="91" t="s">
        <v>1906</v>
      </c>
      <c r="D763" s="7" t="s">
        <v>162</v>
      </c>
      <c r="E763" s="114">
        <v>1</v>
      </c>
      <c r="F763" s="12"/>
      <c r="G763" s="12">
        <f t="shared" si="50"/>
        <v>0</v>
      </c>
      <c r="I763" s="92"/>
    </row>
    <row r="764" spans="1:9" ht="25.5">
      <c r="A764" s="77" t="s">
        <v>1426</v>
      </c>
      <c r="B764" s="6" t="s">
        <v>1011</v>
      </c>
      <c r="C764" s="91" t="s">
        <v>1911</v>
      </c>
      <c r="D764" s="7" t="s">
        <v>162</v>
      </c>
      <c r="E764" s="114">
        <v>1</v>
      </c>
      <c r="F764" s="12"/>
      <c r="G764" s="12">
        <f t="shared" si="50"/>
        <v>0</v>
      </c>
      <c r="I764" s="92"/>
    </row>
    <row r="765" spans="1:9" ht="25.5">
      <c r="A765" s="77" t="s">
        <v>1427</v>
      </c>
      <c r="B765" s="6" t="s">
        <v>1011</v>
      </c>
      <c r="C765" s="91" t="s">
        <v>1907</v>
      </c>
      <c r="D765" s="7" t="s">
        <v>162</v>
      </c>
      <c r="E765" s="114">
        <v>1</v>
      </c>
      <c r="F765" s="12"/>
      <c r="G765" s="12">
        <f t="shared" si="50"/>
        <v>0</v>
      </c>
      <c r="I765" s="92"/>
    </row>
    <row r="766" spans="1:9">
      <c r="A766" s="77" t="s">
        <v>1428</v>
      </c>
      <c r="B766" s="33" t="s">
        <v>1009</v>
      </c>
      <c r="C766" s="91" t="s">
        <v>1908</v>
      </c>
      <c r="D766" s="7" t="s">
        <v>162</v>
      </c>
      <c r="E766" s="114">
        <v>1</v>
      </c>
      <c r="F766" s="12"/>
      <c r="G766" s="12">
        <f t="shared" si="50"/>
        <v>0</v>
      </c>
      <c r="I766" s="92"/>
    </row>
    <row r="767" spans="1:9" ht="25.5">
      <c r="A767" s="77" t="s">
        <v>1429</v>
      </c>
      <c r="B767" s="33" t="s">
        <v>1009</v>
      </c>
      <c r="C767" s="91" t="s">
        <v>1912</v>
      </c>
      <c r="D767" s="7" t="s">
        <v>162</v>
      </c>
      <c r="E767" s="114">
        <v>1</v>
      </c>
      <c r="F767" s="12"/>
      <c r="G767" s="12">
        <f t="shared" si="50"/>
        <v>0</v>
      </c>
      <c r="I767" s="92"/>
    </row>
    <row r="768" spans="1:9">
      <c r="A768" s="77" t="s">
        <v>1430</v>
      </c>
      <c r="B768" s="6" t="s">
        <v>1009</v>
      </c>
      <c r="C768" s="6" t="s">
        <v>1010</v>
      </c>
      <c r="D768" s="7" t="s">
        <v>162</v>
      </c>
      <c r="E768" s="114">
        <v>1</v>
      </c>
      <c r="F768" s="12"/>
      <c r="G768" s="12">
        <f t="shared" si="50"/>
        <v>0</v>
      </c>
      <c r="I768" s="31"/>
    </row>
    <row r="769" spans="1:9">
      <c r="A769" s="77" t="s">
        <v>1431</v>
      </c>
      <c r="B769" s="6" t="s">
        <v>1011</v>
      </c>
      <c r="C769" s="6" t="s">
        <v>1012</v>
      </c>
      <c r="D769" s="7" t="s">
        <v>334</v>
      </c>
      <c r="E769" s="114">
        <v>1</v>
      </c>
      <c r="F769" s="12"/>
      <c r="G769" s="12">
        <f t="shared" si="50"/>
        <v>0</v>
      </c>
      <c r="I769" s="31"/>
    </row>
    <row r="770" spans="1:9">
      <c r="A770" s="77" t="s">
        <v>1432</v>
      </c>
      <c r="B770" s="6" t="s">
        <v>909</v>
      </c>
      <c r="C770" s="6" t="s">
        <v>910</v>
      </c>
      <c r="D770" s="7" t="s">
        <v>93</v>
      </c>
      <c r="E770" s="114">
        <v>3500</v>
      </c>
      <c r="F770" s="12"/>
      <c r="G770" s="12">
        <f t="shared" si="50"/>
        <v>0</v>
      </c>
      <c r="I770" s="31"/>
    </row>
    <row r="771" spans="1:9" ht="25.5">
      <c r="A771" s="77" t="s">
        <v>1433</v>
      </c>
      <c r="B771" s="6" t="s">
        <v>1013</v>
      </c>
      <c r="C771" s="6" t="s">
        <v>1014</v>
      </c>
      <c r="D771" s="7" t="s">
        <v>93</v>
      </c>
      <c r="E771" s="114">
        <v>300</v>
      </c>
      <c r="F771" s="12"/>
      <c r="G771" s="12">
        <f t="shared" si="50"/>
        <v>0</v>
      </c>
      <c r="I771" s="92"/>
    </row>
    <row r="772" spans="1:9" ht="25.5">
      <c r="A772" s="77" t="s">
        <v>1434</v>
      </c>
      <c r="B772" s="6" t="s">
        <v>1013</v>
      </c>
      <c r="C772" s="6" t="s">
        <v>1014</v>
      </c>
      <c r="D772" s="7" t="s">
        <v>93</v>
      </c>
      <c r="E772" s="114">
        <v>3200</v>
      </c>
      <c r="F772" s="12"/>
      <c r="G772" s="12">
        <f t="shared" si="50"/>
        <v>0</v>
      </c>
      <c r="I772" s="31"/>
    </row>
    <row r="773" spans="1:9" ht="25.5">
      <c r="A773" s="77" t="s">
        <v>1435</v>
      </c>
      <c r="B773" s="6" t="s">
        <v>1009</v>
      </c>
      <c r="C773" s="6" t="s">
        <v>1904</v>
      </c>
      <c r="D773" s="7" t="s">
        <v>93</v>
      </c>
      <c r="E773" s="114">
        <v>40</v>
      </c>
      <c r="F773" s="12"/>
      <c r="G773" s="12">
        <f t="shared" si="50"/>
        <v>0</v>
      </c>
      <c r="I773" s="92"/>
    </row>
    <row r="774" spans="1:9" ht="25.5">
      <c r="A774" s="77" t="s">
        <v>1436</v>
      </c>
      <c r="B774" s="6" t="s">
        <v>1015</v>
      </c>
      <c r="C774" s="6" t="s">
        <v>1016</v>
      </c>
      <c r="D774" s="7" t="s">
        <v>1017</v>
      </c>
      <c r="E774" s="114">
        <v>104</v>
      </c>
      <c r="F774" s="12"/>
      <c r="G774" s="12">
        <f t="shared" si="50"/>
        <v>0</v>
      </c>
      <c r="I774" s="31"/>
    </row>
    <row r="775" spans="1:9">
      <c r="A775" s="37">
        <v>9</v>
      </c>
      <c r="B775" s="148" t="s">
        <v>1018</v>
      </c>
      <c r="C775" s="149"/>
      <c r="D775" s="60"/>
      <c r="E775" s="128"/>
      <c r="F775" s="44"/>
      <c r="G775" s="44">
        <f>SUM(G776:G786)</f>
        <v>0</v>
      </c>
      <c r="I775" s="92"/>
    </row>
    <row r="776" spans="1:9" ht="38.25">
      <c r="A776" s="77" t="s">
        <v>1437</v>
      </c>
      <c r="B776" s="6" t="s">
        <v>1019</v>
      </c>
      <c r="C776" s="6" t="s">
        <v>1020</v>
      </c>
      <c r="D776" s="7" t="s">
        <v>102</v>
      </c>
      <c r="E776" s="114">
        <v>3</v>
      </c>
      <c r="F776" s="12"/>
      <c r="G776" s="12">
        <f t="shared" si="50"/>
        <v>0</v>
      </c>
      <c r="I776" s="31"/>
    </row>
    <row r="777" spans="1:9" ht="25.5">
      <c r="A777" s="77" t="s">
        <v>1438</v>
      </c>
      <c r="B777" s="6" t="s">
        <v>1021</v>
      </c>
      <c r="C777" s="6" t="s">
        <v>1022</v>
      </c>
      <c r="D777" s="7" t="s">
        <v>102</v>
      </c>
      <c r="E777" s="114">
        <v>3</v>
      </c>
      <c r="F777" s="12"/>
      <c r="G777" s="12">
        <f t="shared" si="50"/>
        <v>0</v>
      </c>
      <c r="I777" s="92"/>
    </row>
    <row r="778" spans="1:9" ht="25.5">
      <c r="A778" s="77" t="s">
        <v>1439</v>
      </c>
      <c r="B778" s="6" t="s">
        <v>1021</v>
      </c>
      <c r="C778" s="6" t="s">
        <v>1023</v>
      </c>
      <c r="D778" s="7" t="s">
        <v>102</v>
      </c>
      <c r="E778" s="114">
        <v>3</v>
      </c>
      <c r="F778" s="12"/>
      <c r="G778" s="12">
        <f t="shared" si="50"/>
        <v>0</v>
      </c>
      <c r="I778" s="31"/>
    </row>
    <row r="779" spans="1:9" ht="25.5">
      <c r="A779" s="77" t="s">
        <v>1440</v>
      </c>
      <c r="B779" s="6" t="s">
        <v>1024</v>
      </c>
      <c r="C779" s="6" t="s">
        <v>1025</v>
      </c>
      <c r="D779" s="7" t="s">
        <v>102</v>
      </c>
      <c r="E779" s="114">
        <v>5</v>
      </c>
      <c r="F779" s="12"/>
      <c r="G779" s="12">
        <f t="shared" si="50"/>
        <v>0</v>
      </c>
      <c r="I779" s="92"/>
    </row>
    <row r="780" spans="1:9" ht="25.5">
      <c r="A780" s="77" t="s">
        <v>1441</v>
      </c>
      <c r="B780" s="6" t="s">
        <v>1026</v>
      </c>
      <c r="C780" s="6" t="s">
        <v>1027</v>
      </c>
      <c r="D780" s="7" t="s">
        <v>102</v>
      </c>
      <c r="E780" s="114">
        <v>1</v>
      </c>
      <c r="F780" s="12"/>
      <c r="G780" s="12">
        <f t="shared" si="50"/>
        <v>0</v>
      </c>
      <c r="I780" s="31"/>
    </row>
    <row r="781" spans="1:9">
      <c r="A781" s="77" t="s">
        <v>1442</v>
      </c>
      <c r="B781" s="6" t="s">
        <v>988</v>
      </c>
      <c r="C781" s="6" t="s">
        <v>989</v>
      </c>
      <c r="D781" s="7" t="s">
        <v>93</v>
      </c>
      <c r="E781" s="114">
        <v>200</v>
      </c>
      <c r="F781" s="12"/>
      <c r="G781" s="12">
        <f t="shared" si="50"/>
        <v>0</v>
      </c>
      <c r="I781" s="31"/>
    </row>
    <row r="782" spans="1:9" ht="25.5">
      <c r="A782" s="77" t="s">
        <v>1443</v>
      </c>
      <c r="B782" s="6" t="s">
        <v>1028</v>
      </c>
      <c r="C782" s="6" t="s">
        <v>1029</v>
      </c>
      <c r="D782" s="7" t="s">
        <v>93</v>
      </c>
      <c r="E782" s="114">
        <v>180</v>
      </c>
      <c r="F782" s="12"/>
      <c r="G782" s="12">
        <f t="shared" si="50"/>
        <v>0</v>
      </c>
      <c r="I782" s="31"/>
    </row>
    <row r="783" spans="1:9" ht="25.5">
      <c r="A783" s="77" t="s">
        <v>1444</v>
      </c>
      <c r="B783" s="6" t="s">
        <v>1028</v>
      </c>
      <c r="C783" s="6" t="s">
        <v>1030</v>
      </c>
      <c r="D783" s="7" t="s">
        <v>93</v>
      </c>
      <c r="E783" s="114">
        <v>20</v>
      </c>
      <c r="F783" s="12"/>
      <c r="G783" s="12">
        <f t="shared" si="50"/>
        <v>0</v>
      </c>
      <c r="I783" s="31"/>
    </row>
    <row r="784" spans="1:9" ht="38.25">
      <c r="A784" s="77" t="s">
        <v>1445</v>
      </c>
      <c r="B784" s="6" t="s">
        <v>911</v>
      </c>
      <c r="C784" s="6" t="s">
        <v>1031</v>
      </c>
      <c r="D784" s="7" t="s">
        <v>93</v>
      </c>
      <c r="E784" s="114">
        <v>30</v>
      </c>
      <c r="F784" s="12"/>
      <c r="G784" s="12">
        <f t="shared" si="50"/>
        <v>0</v>
      </c>
      <c r="I784" s="31"/>
    </row>
    <row r="785" spans="1:9" ht="25.5">
      <c r="A785" s="77" t="s">
        <v>1446</v>
      </c>
      <c r="B785" s="6" t="s">
        <v>1032</v>
      </c>
      <c r="C785" s="6" t="s">
        <v>1033</v>
      </c>
      <c r="D785" s="7" t="s">
        <v>93</v>
      </c>
      <c r="E785" s="114">
        <v>250</v>
      </c>
      <c r="F785" s="12"/>
      <c r="G785" s="12">
        <f t="shared" si="50"/>
        <v>0</v>
      </c>
      <c r="I785" s="31"/>
    </row>
    <row r="786" spans="1:9" ht="25.5">
      <c r="A786" s="77" t="s">
        <v>1447</v>
      </c>
      <c r="B786" s="6" t="s">
        <v>1034</v>
      </c>
      <c r="C786" s="6" t="s">
        <v>1035</v>
      </c>
      <c r="D786" s="7" t="s">
        <v>1036</v>
      </c>
      <c r="E786" s="114">
        <f>2*5</f>
        <v>10</v>
      </c>
      <c r="F786" s="12"/>
      <c r="G786" s="12">
        <f t="shared" si="50"/>
        <v>0</v>
      </c>
      <c r="I786" s="31"/>
    </row>
    <row r="787" spans="1:9">
      <c r="A787" s="37">
        <v>10</v>
      </c>
      <c r="B787" s="148" t="s">
        <v>1933</v>
      </c>
      <c r="C787" s="149"/>
      <c r="D787" s="60"/>
      <c r="E787" s="128"/>
      <c r="F787" s="44"/>
      <c r="G787" s="44">
        <f>SUM(G788:G807)</f>
        <v>0</v>
      </c>
      <c r="I787" s="31"/>
    </row>
    <row r="788" spans="1:9">
      <c r="A788" s="77" t="s">
        <v>1449</v>
      </c>
      <c r="B788" s="6" t="s">
        <v>1037</v>
      </c>
      <c r="C788" s="6" t="s">
        <v>1038</v>
      </c>
      <c r="D788" s="7" t="s">
        <v>102</v>
      </c>
      <c r="E788" s="114">
        <v>1</v>
      </c>
      <c r="F788" s="12"/>
      <c r="G788" s="12">
        <f t="shared" si="50"/>
        <v>0</v>
      </c>
      <c r="I788" s="31"/>
    </row>
    <row r="789" spans="1:9" ht="25.5">
      <c r="A789" s="77" t="s">
        <v>1450</v>
      </c>
      <c r="B789" s="6" t="s">
        <v>1039</v>
      </c>
      <c r="C789" s="6" t="s">
        <v>1040</v>
      </c>
      <c r="D789" s="7" t="s">
        <v>102</v>
      </c>
      <c r="E789" s="114">
        <v>1</v>
      </c>
      <c r="F789" s="12"/>
      <c r="G789" s="12">
        <f t="shared" si="50"/>
        <v>0</v>
      </c>
      <c r="I789" s="31"/>
    </row>
    <row r="790" spans="1:9">
      <c r="A790" s="77" t="s">
        <v>1451</v>
      </c>
      <c r="B790" s="6" t="s">
        <v>1041</v>
      </c>
      <c r="C790" s="6" t="s">
        <v>1042</v>
      </c>
      <c r="D790" s="7" t="s">
        <v>102</v>
      </c>
      <c r="E790" s="114">
        <v>4</v>
      </c>
      <c r="F790" s="12"/>
      <c r="G790" s="12">
        <f t="shared" si="50"/>
        <v>0</v>
      </c>
      <c r="I790" s="31"/>
    </row>
    <row r="791" spans="1:9" ht="25.5">
      <c r="A791" s="77" t="s">
        <v>1452</v>
      </c>
      <c r="B791" s="6" t="s">
        <v>1043</v>
      </c>
      <c r="C791" s="6" t="s">
        <v>1044</v>
      </c>
      <c r="D791" s="7" t="s">
        <v>102</v>
      </c>
      <c r="E791" s="114">
        <v>1</v>
      </c>
      <c r="F791" s="12"/>
      <c r="G791" s="12">
        <f t="shared" si="50"/>
        <v>0</v>
      </c>
      <c r="I791" s="31"/>
    </row>
    <row r="792" spans="1:9" ht="25.5">
      <c r="A792" s="77" t="s">
        <v>1453</v>
      </c>
      <c r="B792" s="6" t="s">
        <v>1045</v>
      </c>
      <c r="C792" s="6" t="s">
        <v>1046</v>
      </c>
      <c r="D792" s="7" t="s">
        <v>1047</v>
      </c>
      <c r="E792" s="114">
        <v>1</v>
      </c>
      <c r="F792" s="12"/>
      <c r="G792" s="12">
        <f t="shared" si="50"/>
        <v>0</v>
      </c>
      <c r="I792" s="31"/>
    </row>
    <row r="793" spans="1:9" ht="38.25">
      <c r="A793" s="77" t="s">
        <v>1454</v>
      </c>
      <c r="B793" s="6" t="s">
        <v>1045</v>
      </c>
      <c r="C793" s="6" t="s">
        <v>1048</v>
      </c>
      <c r="D793" s="7" t="s">
        <v>1047</v>
      </c>
      <c r="E793" s="114">
        <v>2</v>
      </c>
      <c r="F793" s="12"/>
      <c r="G793" s="12">
        <f t="shared" si="50"/>
        <v>0</v>
      </c>
      <c r="I793" s="31"/>
    </row>
    <row r="794" spans="1:9">
      <c r="A794" s="77" t="s">
        <v>1455</v>
      </c>
      <c r="B794" s="6" t="s">
        <v>1049</v>
      </c>
      <c r="C794" s="6" t="s">
        <v>1050</v>
      </c>
      <c r="D794" s="7" t="s">
        <v>102</v>
      </c>
      <c r="E794" s="114">
        <v>3</v>
      </c>
      <c r="F794" s="12"/>
      <c r="G794" s="12">
        <f t="shared" ref="G794:G821" si="51">E794*F794</f>
        <v>0</v>
      </c>
      <c r="I794" s="31"/>
    </row>
    <row r="795" spans="1:9">
      <c r="A795" s="77" t="s">
        <v>1456</v>
      </c>
      <c r="B795" s="6" t="s">
        <v>1051</v>
      </c>
      <c r="C795" s="6" t="s">
        <v>1052</v>
      </c>
      <c r="D795" s="7" t="s">
        <v>102</v>
      </c>
      <c r="E795" s="114">
        <v>3</v>
      </c>
      <c r="F795" s="12"/>
      <c r="G795" s="12">
        <f t="shared" si="51"/>
        <v>0</v>
      </c>
      <c r="I795" s="31"/>
    </row>
    <row r="796" spans="1:9" ht="25.5">
      <c r="A796" s="77" t="s">
        <v>1457</v>
      </c>
      <c r="B796" s="6" t="s">
        <v>1026</v>
      </c>
      <c r="C796" s="6" t="s">
        <v>1027</v>
      </c>
      <c r="D796" s="7" t="s">
        <v>102</v>
      </c>
      <c r="E796" s="114">
        <v>1</v>
      </c>
      <c r="F796" s="12"/>
      <c r="G796" s="12">
        <f t="shared" si="51"/>
        <v>0</v>
      </c>
    </row>
    <row r="797" spans="1:9">
      <c r="A797" s="77" t="s">
        <v>1458</v>
      </c>
      <c r="B797" s="6" t="s">
        <v>1026</v>
      </c>
      <c r="C797" s="6" t="s">
        <v>1053</v>
      </c>
      <c r="D797" s="7" t="s">
        <v>102</v>
      </c>
      <c r="E797" s="114">
        <v>1</v>
      </c>
      <c r="F797" s="12"/>
      <c r="G797" s="12">
        <f t="shared" si="51"/>
        <v>0</v>
      </c>
    </row>
    <row r="798" spans="1:9">
      <c r="A798" s="77" t="s">
        <v>1459</v>
      </c>
      <c r="B798" s="6" t="s">
        <v>988</v>
      </c>
      <c r="C798" s="6" t="s">
        <v>989</v>
      </c>
      <c r="D798" s="7" t="s">
        <v>93</v>
      </c>
      <c r="E798" s="114">
        <v>400</v>
      </c>
      <c r="F798" s="12"/>
      <c r="G798" s="12">
        <f t="shared" si="51"/>
        <v>0</v>
      </c>
    </row>
    <row r="799" spans="1:9" ht="25.5">
      <c r="A799" s="77" t="s">
        <v>1460</v>
      </c>
      <c r="B799" s="6" t="s">
        <v>1028</v>
      </c>
      <c r="C799" s="6" t="s">
        <v>1029</v>
      </c>
      <c r="D799" s="7" t="s">
        <v>93</v>
      </c>
      <c r="E799" s="114">
        <v>400</v>
      </c>
      <c r="F799" s="12"/>
      <c r="G799" s="12">
        <f t="shared" si="51"/>
        <v>0</v>
      </c>
    </row>
    <row r="800" spans="1:9" ht="25.5">
      <c r="A800" s="77" t="s">
        <v>1461</v>
      </c>
      <c r="B800" s="6" t="s">
        <v>1032</v>
      </c>
      <c r="C800" s="6" t="s">
        <v>1033</v>
      </c>
      <c r="D800" s="7" t="s">
        <v>93</v>
      </c>
      <c r="E800" s="114">
        <v>50</v>
      </c>
      <c r="F800" s="12"/>
      <c r="G800" s="12">
        <f t="shared" si="51"/>
        <v>0</v>
      </c>
    </row>
    <row r="801" spans="1:7" ht="25.5">
      <c r="A801" s="77" t="s">
        <v>2027</v>
      </c>
      <c r="B801" s="6" t="s">
        <v>1032</v>
      </c>
      <c r="C801" s="6" t="s">
        <v>1054</v>
      </c>
      <c r="D801" s="7" t="s">
        <v>93</v>
      </c>
      <c r="E801" s="114">
        <v>200</v>
      </c>
      <c r="F801" s="12"/>
      <c r="G801" s="12">
        <f t="shared" si="51"/>
        <v>0</v>
      </c>
    </row>
    <row r="802" spans="1:7" ht="25.5">
      <c r="A802" s="77" t="s">
        <v>2028</v>
      </c>
      <c r="B802" s="6" t="s">
        <v>1032</v>
      </c>
      <c r="C802" s="6" t="s">
        <v>1055</v>
      </c>
      <c r="D802" s="7" t="s">
        <v>93</v>
      </c>
      <c r="E802" s="114">
        <v>80</v>
      </c>
      <c r="F802" s="12"/>
      <c r="G802" s="12">
        <f t="shared" si="51"/>
        <v>0</v>
      </c>
    </row>
    <row r="803" spans="1:7" ht="25.5">
      <c r="A803" s="77" t="s">
        <v>2029</v>
      </c>
      <c r="B803" s="6" t="s">
        <v>1032</v>
      </c>
      <c r="C803" s="6" t="s">
        <v>1056</v>
      </c>
      <c r="D803" s="7" t="s">
        <v>93</v>
      </c>
      <c r="E803" s="114">
        <v>60</v>
      </c>
      <c r="F803" s="12"/>
      <c r="G803" s="12">
        <f t="shared" si="51"/>
        <v>0</v>
      </c>
    </row>
    <row r="804" spans="1:7">
      <c r="A804" s="77" t="s">
        <v>2030</v>
      </c>
      <c r="B804" s="6" t="s">
        <v>1057</v>
      </c>
      <c r="C804" s="6" t="s">
        <v>1058</v>
      </c>
      <c r="D804" s="7" t="s">
        <v>93</v>
      </c>
      <c r="E804" s="114">
        <v>40</v>
      </c>
      <c r="F804" s="12"/>
      <c r="G804" s="12">
        <f t="shared" si="51"/>
        <v>0</v>
      </c>
    </row>
    <row r="805" spans="1:7" ht="25.5">
      <c r="A805" s="77" t="s">
        <v>2031</v>
      </c>
      <c r="B805" s="6" t="s">
        <v>1059</v>
      </c>
      <c r="C805" s="6" t="s">
        <v>1060</v>
      </c>
      <c r="D805" s="7" t="s">
        <v>93</v>
      </c>
      <c r="E805" s="114">
        <v>40</v>
      </c>
      <c r="F805" s="12"/>
      <c r="G805" s="12">
        <f t="shared" si="51"/>
        <v>0</v>
      </c>
    </row>
    <row r="806" spans="1:7" ht="25.5">
      <c r="A806" s="77" t="s">
        <v>2032</v>
      </c>
      <c r="B806" s="6" t="s">
        <v>1061</v>
      </c>
      <c r="C806" s="6" t="s">
        <v>1062</v>
      </c>
      <c r="D806" s="7" t="s">
        <v>102</v>
      </c>
      <c r="E806" s="114">
        <v>11</v>
      </c>
      <c r="F806" s="12"/>
      <c r="G806" s="12">
        <f t="shared" si="51"/>
        <v>0</v>
      </c>
    </row>
    <row r="807" spans="1:7" ht="25.5">
      <c r="A807" s="77" t="s">
        <v>2033</v>
      </c>
      <c r="B807" s="6" t="s">
        <v>1063</v>
      </c>
      <c r="C807" s="6" t="s">
        <v>1064</v>
      </c>
      <c r="D807" s="7" t="s">
        <v>1065</v>
      </c>
      <c r="E807" s="114">
        <v>8</v>
      </c>
      <c r="F807" s="12"/>
      <c r="G807" s="12">
        <f t="shared" si="51"/>
        <v>0</v>
      </c>
    </row>
    <row r="808" spans="1:7">
      <c r="A808" s="37">
        <v>11</v>
      </c>
      <c r="B808" s="148" t="s">
        <v>1066</v>
      </c>
      <c r="C808" s="149"/>
      <c r="D808" s="60"/>
      <c r="E808" s="128"/>
      <c r="F808" s="44"/>
      <c r="G808" s="44">
        <f>SUM(G809:G821)</f>
        <v>0</v>
      </c>
    </row>
    <row r="809" spans="1:7">
      <c r="A809" s="77" t="s">
        <v>1462</v>
      </c>
      <c r="B809" s="6" t="s">
        <v>1067</v>
      </c>
      <c r="C809" s="6" t="s">
        <v>1068</v>
      </c>
      <c r="D809" s="7" t="s">
        <v>102</v>
      </c>
      <c r="E809" s="114">
        <v>1</v>
      </c>
      <c r="F809" s="12"/>
      <c r="G809" s="12">
        <f t="shared" si="51"/>
        <v>0</v>
      </c>
    </row>
    <row r="810" spans="1:7" ht="25.5">
      <c r="A810" s="77" t="s">
        <v>1463</v>
      </c>
      <c r="B810" s="6" t="s">
        <v>1069</v>
      </c>
      <c r="C810" s="6" t="s">
        <v>1070</v>
      </c>
      <c r="D810" s="7" t="s">
        <v>102</v>
      </c>
      <c r="E810" s="114">
        <v>1</v>
      </c>
      <c r="F810" s="12"/>
      <c r="G810" s="12">
        <f t="shared" si="51"/>
        <v>0</v>
      </c>
    </row>
    <row r="811" spans="1:7">
      <c r="A811" s="77" t="s">
        <v>1464</v>
      </c>
      <c r="B811" s="6" t="s">
        <v>1071</v>
      </c>
      <c r="C811" s="6" t="s">
        <v>1072</v>
      </c>
      <c r="D811" s="7" t="s">
        <v>102</v>
      </c>
      <c r="E811" s="114">
        <v>2</v>
      </c>
      <c r="F811" s="12"/>
      <c r="G811" s="12">
        <f t="shared" si="51"/>
        <v>0</v>
      </c>
    </row>
    <row r="812" spans="1:7">
      <c r="A812" s="77" t="s">
        <v>1465</v>
      </c>
      <c r="B812" s="6" t="s">
        <v>1073</v>
      </c>
      <c r="C812" s="6" t="s">
        <v>1074</v>
      </c>
      <c r="D812" s="7" t="s">
        <v>102</v>
      </c>
      <c r="E812" s="114">
        <v>2</v>
      </c>
      <c r="F812" s="12"/>
      <c r="G812" s="12">
        <f t="shared" si="51"/>
        <v>0</v>
      </c>
    </row>
    <row r="813" spans="1:7" ht="25.5">
      <c r="A813" s="77" t="s">
        <v>1466</v>
      </c>
      <c r="B813" s="6" t="s">
        <v>1075</v>
      </c>
      <c r="C813" s="6" t="s">
        <v>1076</v>
      </c>
      <c r="D813" s="7" t="s">
        <v>102</v>
      </c>
      <c r="E813" s="114">
        <v>1</v>
      </c>
      <c r="F813" s="12"/>
      <c r="G813" s="12">
        <f t="shared" si="51"/>
        <v>0</v>
      </c>
    </row>
    <row r="814" spans="1:7">
      <c r="A814" s="77" t="s">
        <v>1467</v>
      </c>
      <c r="B814" s="6" t="s">
        <v>1077</v>
      </c>
      <c r="C814" s="6" t="s">
        <v>1078</v>
      </c>
      <c r="D814" s="7" t="s">
        <v>102</v>
      </c>
      <c r="E814" s="114">
        <v>17</v>
      </c>
      <c r="F814" s="12"/>
      <c r="G814" s="12">
        <f t="shared" si="51"/>
        <v>0</v>
      </c>
    </row>
    <row r="815" spans="1:7">
      <c r="A815" s="77" t="s">
        <v>1468</v>
      </c>
      <c r="B815" s="6" t="s">
        <v>1079</v>
      </c>
      <c r="C815" s="6" t="s">
        <v>1080</v>
      </c>
      <c r="D815" s="7" t="s">
        <v>102</v>
      </c>
      <c r="E815" s="114">
        <v>3</v>
      </c>
      <c r="F815" s="12"/>
      <c r="G815" s="12">
        <f t="shared" si="51"/>
        <v>0</v>
      </c>
    </row>
    <row r="816" spans="1:7">
      <c r="A816" s="77" t="s">
        <v>1469</v>
      </c>
      <c r="B816" s="6" t="s">
        <v>909</v>
      </c>
      <c r="C816" s="6" t="s">
        <v>910</v>
      </c>
      <c r="D816" s="7" t="s">
        <v>93</v>
      </c>
      <c r="E816" s="114">
        <v>600</v>
      </c>
      <c r="F816" s="12"/>
      <c r="G816" s="12">
        <f t="shared" si="51"/>
        <v>0</v>
      </c>
    </row>
    <row r="817" spans="1:7" ht="25.5">
      <c r="A817" s="77" t="s">
        <v>2034</v>
      </c>
      <c r="B817" s="6" t="s">
        <v>1059</v>
      </c>
      <c r="C817" s="6" t="s">
        <v>1060</v>
      </c>
      <c r="D817" s="7" t="s">
        <v>93</v>
      </c>
      <c r="E817" s="114">
        <v>500</v>
      </c>
      <c r="F817" s="12"/>
      <c r="G817" s="12">
        <f t="shared" si="51"/>
        <v>0</v>
      </c>
    </row>
    <row r="818" spans="1:7" ht="51">
      <c r="A818" s="77" t="s">
        <v>2035</v>
      </c>
      <c r="B818" s="6" t="s">
        <v>911</v>
      </c>
      <c r="C818" s="6" t="s">
        <v>1081</v>
      </c>
      <c r="D818" s="7" t="s">
        <v>93</v>
      </c>
      <c r="E818" s="114">
        <v>100</v>
      </c>
      <c r="F818" s="12"/>
      <c r="G818" s="12">
        <f t="shared" si="51"/>
        <v>0</v>
      </c>
    </row>
    <row r="819" spans="1:7" ht="25.5">
      <c r="A819" s="77" t="s">
        <v>2036</v>
      </c>
      <c r="B819" s="6" t="s">
        <v>1082</v>
      </c>
      <c r="C819" s="6" t="s">
        <v>1083</v>
      </c>
      <c r="D819" s="7" t="s">
        <v>1084</v>
      </c>
      <c r="E819" s="114">
        <v>2</v>
      </c>
      <c r="F819" s="12"/>
      <c r="G819" s="12">
        <f t="shared" si="51"/>
        <v>0</v>
      </c>
    </row>
    <row r="820" spans="1:7" ht="25.5">
      <c r="A820" s="77" t="s">
        <v>2037</v>
      </c>
      <c r="B820" s="6" t="s">
        <v>1085</v>
      </c>
      <c r="C820" s="6" t="s">
        <v>1086</v>
      </c>
      <c r="D820" s="7" t="s">
        <v>102</v>
      </c>
      <c r="E820" s="114">
        <v>2</v>
      </c>
      <c r="F820" s="12"/>
      <c r="G820" s="12">
        <f t="shared" si="51"/>
        <v>0</v>
      </c>
    </row>
    <row r="821" spans="1:7" ht="25.5">
      <c r="A821" s="77" t="s">
        <v>2038</v>
      </c>
      <c r="B821" s="6" t="s">
        <v>1087</v>
      </c>
      <c r="C821" s="6" t="s">
        <v>1088</v>
      </c>
      <c r="D821" s="7" t="s">
        <v>161</v>
      </c>
      <c r="E821" s="114">
        <v>2</v>
      </c>
      <c r="F821" s="12"/>
      <c r="G821" s="12">
        <f t="shared" si="51"/>
        <v>0</v>
      </c>
    </row>
    <row r="822" spans="1:7">
      <c r="A822" s="37">
        <v>12</v>
      </c>
      <c r="B822" s="148" t="s">
        <v>1147</v>
      </c>
      <c r="C822" s="149"/>
      <c r="D822" s="60"/>
      <c r="E822" s="128"/>
      <c r="F822" s="44"/>
      <c r="G822" s="44">
        <f>SUM(G823:G827)</f>
        <v>0</v>
      </c>
    </row>
    <row r="823" spans="1:7">
      <c r="A823" s="77" t="s">
        <v>1470</v>
      </c>
      <c r="B823" s="6" t="s">
        <v>72</v>
      </c>
      <c r="C823" s="6" t="s">
        <v>1148</v>
      </c>
      <c r="D823" s="7" t="s">
        <v>1149</v>
      </c>
      <c r="E823" s="114">
        <f>8*2*6</f>
        <v>96</v>
      </c>
      <c r="F823" s="12"/>
      <c r="G823" s="12">
        <f t="shared" ref="G823:G847" si="52">E823*F823</f>
        <v>0</v>
      </c>
    </row>
    <row r="824" spans="1:7">
      <c r="A824" s="77" t="s">
        <v>1471</v>
      </c>
      <c r="B824" s="6" t="s">
        <v>1150</v>
      </c>
      <c r="C824" s="6" t="s">
        <v>1151</v>
      </c>
      <c r="D824" s="7" t="s">
        <v>102</v>
      </c>
      <c r="E824" s="114">
        <v>75</v>
      </c>
      <c r="F824" s="12"/>
      <c r="G824" s="12">
        <f t="shared" si="52"/>
        <v>0</v>
      </c>
    </row>
    <row r="825" spans="1:7">
      <c r="A825" s="77" t="s">
        <v>1472</v>
      </c>
      <c r="B825" s="6" t="s">
        <v>1152</v>
      </c>
      <c r="C825" s="6" t="s">
        <v>1153</v>
      </c>
      <c r="D825" s="7" t="s">
        <v>102</v>
      </c>
      <c r="E825" s="114">
        <v>65</v>
      </c>
      <c r="F825" s="12"/>
      <c r="G825" s="12">
        <f t="shared" si="52"/>
        <v>0</v>
      </c>
    </row>
    <row r="826" spans="1:7" ht="25.5">
      <c r="A826" s="77" t="s">
        <v>1473</v>
      </c>
      <c r="B826" s="6" t="s">
        <v>1154</v>
      </c>
      <c r="C826" s="6" t="s">
        <v>1155</v>
      </c>
      <c r="D826" s="7" t="s">
        <v>27</v>
      </c>
      <c r="E826" s="114">
        <v>1.1000000000000001</v>
      </c>
      <c r="F826" s="12"/>
      <c r="G826" s="12">
        <f t="shared" si="52"/>
        <v>0</v>
      </c>
    </row>
    <row r="827" spans="1:7" ht="25.5">
      <c r="A827" s="77" t="s">
        <v>1474</v>
      </c>
      <c r="B827" s="6" t="s">
        <v>1156</v>
      </c>
      <c r="C827" s="6" t="s">
        <v>1157</v>
      </c>
      <c r="D827" s="7" t="s">
        <v>27</v>
      </c>
      <c r="E827" s="114">
        <v>1.1000000000000001</v>
      </c>
      <c r="F827" s="12"/>
      <c r="G827" s="12">
        <f t="shared" si="52"/>
        <v>0</v>
      </c>
    </row>
    <row r="828" spans="1:7">
      <c r="A828" s="37">
        <v>13</v>
      </c>
      <c r="B828" s="148" t="s">
        <v>1158</v>
      </c>
      <c r="C828" s="149"/>
      <c r="D828" s="60"/>
      <c r="E828" s="128"/>
      <c r="F828" s="44"/>
      <c r="G828" s="44">
        <f>SUM(G829:G836)</f>
        <v>0</v>
      </c>
    </row>
    <row r="829" spans="1:7" ht="25.5">
      <c r="A829" s="77" t="s">
        <v>1475</v>
      </c>
      <c r="B829" s="6" t="s">
        <v>1159</v>
      </c>
      <c r="C829" s="6" t="s">
        <v>1160</v>
      </c>
      <c r="D829" s="7" t="s">
        <v>515</v>
      </c>
      <c r="E829" s="114">
        <v>12</v>
      </c>
      <c r="F829" s="12"/>
      <c r="G829" s="12">
        <f t="shared" si="52"/>
        <v>0</v>
      </c>
    </row>
    <row r="830" spans="1:7" ht="25.5">
      <c r="A830" s="77" t="s">
        <v>1476</v>
      </c>
      <c r="B830" s="6" t="s">
        <v>1161</v>
      </c>
      <c r="C830" s="6" t="s">
        <v>1162</v>
      </c>
      <c r="D830" s="7" t="s">
        <v>515</v>
      </c>
      <c r="E830" s="114">
        <v>26</v>
      </c>
      <c r="F830" s="12"/>
      <c r="G830" s="12">
        <f t="shared" si="52"/>
        <v>0</v>
      </c>
    </row>
    <row r="831" spans="1:7" ht="25.5">
      <c r="A831" s="77" t="s">
        <v>1477</v>
      </c>
      <c r="B831" s="6" t="s">
        <v>1163</v>
      </c>
      <c r="C831" s="6" t="s">
        <v>1164</v>
      </c>
      <c r="D831" s="7" t="s">
        <v>515</v>
      </c>
      <c r="E831" s="114">
        <v>38</v>
      </c>
      <c r="F831" s="12"/>
      <c r="G831" s="12">
        <f t="shared" si="52"/>
        <v>0</v>
      </c>
    </row>
    <row r="832" spans="1:7" ht="25.5">
      <c r="A832" s="77" t="s">
        <v>1478</v>
      </c>
      <c r="B832" s="6" t="s">
        <v>1165</v>
      </c>
      <c r="C832" s="6" t="s">
        <v>1166</v>
      </c>
      <c r="D832" s="7" t="s">
        <v>515</v>
      </c>
      <c r="E832" s="114">
        <v>68</v>
      </c>
      <c r="F832" s="12"/>
      <c r="G832" s="12">
        <f t="shared" si="52"/>
        <v>0</v>
      </c>
    </row>
    <row r="833" spans="1:7" ht="25.5">
      <c r="A833" s="77" t="s">
        <v>1479</v>
      </c>
      <c r="B833" s="6" t="s">
        <v>1167</v>
      </c>
      <c r="C833" s="6" t="s">
        <v>1168</v>
      </c>
      <c r="D833" s="7" t="s">
        <v>515</v>
      </c>
      <c r="E833" s="114">
        <v>44</v>
      </c>
      <c r="F833" s="12"/>
      <c r="G833" s="12">
        <f t="shared" si="52"/>
        <v>0</v>
      </c>
    </row>
    <row r="834" spans="1:7" ht="25.5">
      <c r="A834" s="77" t="s">
        <v>1480</v>
      </c>
      <c r="B834" s="6" t="s">
        <v>1169</v>
      </c>
      <c r="C834" s="6" t="s">
        <v>1170</v>
      </c>
      <c r="D834" s="7" t="s">
        <v>7</v>
      </c>
      <c r="E834" s="114">
        <f>10900*0.035*0.03</f>
        <v>11.445000000000002</v>
      </c>
      <c r="F834" s="12"/>
      <c r="G834" s="12">
        <f t="shared" si="52"/>
        <v>0</v>
      </c>
    </row>
    <row r="835" spans="1:7">
      <c r="A835" s="77" t="s">
        <v>1636</v>
      </c>
      <c r="B835" s="6" t="s">
        <v>1171</v>
      </c>
      <c r="C835" s="6" t="s">
        <v>1172</v>
      </c>
      <c r="D835" s="7" t="s">
        <v>93</v>
      </c>
      <c r="E835" s="114">
        <v>10900</v>
      </c>
      <c r="F835" s="12"/>
      <c r="G835" s="12">
        <f t="shared" si="52"/>
        <v>0</v>
      </c>
    </row>
    <row r="836" spans="1:7" ht="38.25">
      <c r="A836" s="77" t="s">
        <v>1637</v>
      </c>
      <c r="B836" s="6" t="s">
        <v>1173</v>
      </c>
      <c r="C836" s="6" t="s">
        <v>1174</v>
      </c>
      <c r="D836" s="7" t="s">
        <v>102</v>
      </c>
      <c r="E836" s="114">
        <v>120</v>
      </c>
      <c r="F836" s="12"/>
      <c r="G836" s="12">
        <f t="shared" si="52"/>
        <v>0</v>
      </c>
    </row>
    <row r="837" spans="1:7">
      <c r="A837" s="37">
        <v>14</v>
      </c>
      <c r="B837" s="148" t="s">
        <v>1175</v>
      </c>
      <c r="C837" s="149"/>
      <c r="D837" s="60"/>
      <c r="E837" s="128"/>
      <c r="F837" s="44"/>
      <c r="G837" s="44">
        <f>SUM(G838:G847)</f>
        <v>0</v>
      </c>
    </row>
    <row r="838" spans="1:7" ht="25.5">
      <c r="A838" s="77" t="s">
        <v>1481</v>
      </c>
      <c r="B838" s="6" t="s">
        <v>1176</v>
      </c>
      <c r="C838" s="6" t="s">
        <v>1177</v>
      </c>
      <c r="D838" s="7" t="s">
        <v>1017</v>
      </c>
      <c r="E838" s="114">
        <v>96</v>
      </c>
      <c r="F838" s="12"/>
      <c r="G838" s="12">
        <f t="shared" si="52"/>
        <v>0</v>
      </c>
    </row>
    <row r="839" spans="1:7" ht="25.5">
      <c r="A839" s="77" t="s">
        <v>1482</v>
      </c>
      <c r="B839" s="6" t="s">
        <v>1178</v>
      </c>
      <c r="C839" s="6" t="s">
        <v>1179</v>
      </c>
      <c r="D839" s="7" t="s">
        <v>1017</v>
      </c>
      <c r="E839" s="114">
        <v>8</v>
      </c>
      <c r="F839" s="12"/>
      <c r="G839" s="12">
        <f t="shared" si="52"/>
        <v>0</v>
      </c>
    </row>
    <row r="840" spans="1:7">
      <c r="A840" s="77" t="s">
        <v>1483</v>
      </c>
      <c r="B840" s="6" t="s">
        <v>1180</v>
      </c>
      <c r="C840" s="6" t="s">
        <v>1181</v>
      </c>
      <c r="D840" s="7" t="s">
        <v>1182</v>
      </c>
      <c r="E840" s="114">
        <v>7</v>
      </c>
      <c r="F840" s="12"/>
      <c r="G840" s="12">
        <f t="shared" si="52"/>
        <v>0</v>
      </c>
    </row>
    <row r="841" spans="1:7" ht="25.5">
      <c r="A841" s="77" t="s">
        <v>1484</v>
      </c>
      <c r="B841" s="6" t="s">
        <v>1183</v>
      </c>
      <c r="C841" s="6" t="s">
        <v>1184</v>
      </c>
      <c r="D841" s="7" t="s">
        <v>1185</v>
      </c>
      <c r="E841" s="114">
        <v>1</v>
      </c>
      <c r="F841" s="12"/>
      <c r="G841" s="12">
        <f t="shared" si="52"/>
        <v>0</v>
      </c>
    </row>
    <row r="842" spans="1:7" ht="25.5">
      <c r="A842" s="77" t="s">
        <v>1485</v>
      </c>
      <c r="B842" s="6" t="s">
        <v>1186</v>
      </c>
      <c r="C842" s="6" t="s">
        <v>1187</v>
      </c>
      <c r="D842" s="7" t="s">
        <v>1185</v>
      </c>
      <c r="E842" s="114">
        <v>415</v>
      </c>
      <c r="F842" s="12"/>
      <c r="G842" s="12">
        <f t="shared" si="52"/>
        <v>0</v>
      </c>
    </row>
    <row r="843" spans="1:7">
      <c r="A843" s="77" t="s">
        <v>1797</v>
      </c>
      <c r="B843" s="6" t="s">
        <v>1188</v>
      </c>
      <c r="C843" s="6" t="s">
        <v>1189</v>
      </c>
      <c r="D843" s="7" t="s">
        <v>102</v>
      </c>
      <c r="E843" s="114">
        <v>1</v>
      </c>
      <c r="F843" s="12"/>
      <c r="G843" s="12">
        <f t="shared" si="52"/>
        <v>0</v>
      </c>
    </row>
    <row r="844" spans="1:7" ht="25.5">
      <c r="A844" s="77" t="s">
        <v>1798</v>
      </c>
      <c r="B844" s="6" t="s">
        <v>1190</v>
      </c>
      <c r="C844" s="6" t="s">
        <v>1191</v>
      </c>
      <c r="D844" s="7" t="s">
        <v>102</v>
      </c>
      <c r="E844" s="114">
        <v>52</v>
      </c>
      <c r="F844" s="12"/>
      <c r="G844" s="12">
        <f t="shared" si="52"/>
        <v>0</v>
      </c>
    </row>
    <row r="845" spans="1:7">
      <c r="A845" s="77" t="s">
        <v>1799</v>
      </c>
      <c r="B845" s="6" t="s">
        <v>1192</v>
      </c>
      <c r="C845" s="6" t="s">
        <v>1193</v>
      </c>
      <c r="D845" s="7" t="s">
        <v>102</v>
      </c>
      <c r="E845" s="114">
        <v>1</v>
      </c>
      <c r="F845" s="12"/>
      <c r="G845" s="12">
        <f t="shared" si="52"/>
        <v>0</v>
      </c>
    </row>
    <row r="846" spans="1:7" ht="25.5">
      <c r="A846" s="77" t="s">
        <v>1800</v>
      </c>
      <c r="B846" s="6" t="s">
        <v>1194</v>
      </c>
      <c r="C846" s="6" t="s">
        <v>1195</v>
      </c>
      <c r="D846" s="7" t="s">
        <v>102</v>
      </c>
      <c r="E846" s="114">
        <v>5</v>
      </c>
      <c r="F846" s="12"/>
      <c r="G846" s="12">
        <f t="shared" si="52"/>
        <v>0</v>
      </c>
    </row>
    <row r="847" spans="1:7" ht="25.5">
      <c r="A847" s="77" t="s">
        <v>1801</v>
      </c>
      <c r="B847" s="6" t="s">
        <v>1196</v>
      </c>
      <c r="C847" s="6" t="s">
        <v>1197</v>
      </c>
      <c r="D847" s="7" t="s">
        <v>1198</v>
      </c>
      <c r="E847" s="114">
        <v>55</v>
      </c>
      <c r="F847" s="12"/>
      <c r="G847" s="12">
        <f t="shared" si="52"/>
        <v>0</v>
      </c>
    </row>
    <row r="848" spans="1:7">
      <c r="A848" s="37">
        <v>15</v>
      </c>
      <c r="B848" s="148" t="s">
        <v>1118</v>
      </c>
      <c r="C848" s="149"/>
      <c r="D848" s="37"/>
      <c r="E848" s="128"/>
      <c r="F848" s="44"/>
      <c r="G848" s="44">
        <f>SUM(G849:G863)</f>
        <v>0</v>
      </c>
    </row>
    <row r="849" spans="1:7" ht="25.5">
      <c r="A849" s="77" t="s">
        <v>2039</v>
      </c>
      <c r="B849" s="6" t="s">
        <v>1119</v>
      </c>
      <c r="C849" s="6" t="s">
        <v>1120</v>
      </c>
      <c r="D849" s="77" t="s">
        <v>20</v>
      </c>
      <c r="E849" s="114">
        <v>15</v>
      </c>
      <c r="F849" s="12"/>
      <c r="G849" s="12">
        <f t="shared" ref="G849:G863" si="53">E849*F849</f>
        <v>0</v>
      </c>
    </row>
    <row r="850" spans="1:7" ht="25.5">
      <c r="A850" s="77" t="s">
        <v>2040</v>
      </c>
      <c r="B850" s="6" t="s">
        <v>1121</v>
      </c>
      <c r="C850" s="6" t="s">
        <v>1122</v>
      </c>
      <c r="D850" s="77" t="s">
        <v>93</v>
      </c>
      <c r="E850" s="114">
        <v>120</v>
      </c>
      <c r="F850" s="12"/>
      <c r="G850" s="12">
        <f t="shared" si="53"/>
        <v>0</v>
      </c>
    </row>
    <row r="851" spans="1:7" ht="25.5">
      <c r="A851" s="77" t="s">
        <v>2041</v>
      </c>
      <c r="B851" s="6" t="s">
        <v>1123</v>
      </c>
      <c r="C851" s="6" t="s">
        <v>1124</v>
      </c>
      <c r="D851" s="77" t="s">
        <v>102</v>
      </c>
      <c r="E851" s="114">
        <v>7</v>
      </c>
      <c r="F851" s="12"/>
      <c r="G851" s="12">
        <f t="shared" si="53"/>
        <v>0</v>
      </c>
    </row>
    <row r="852" spans="1:7">
      <c r="A852" s="77" t="s">
        <v>2042</v>
      </c>
      <c r="B852" s="6" t="s">
        <v>930</v>
      </c>
      <c r="C852" s="6" t="s">
        <v>1125</v>
      </c>
      <c r="D852" s="77" t="s">
        <v>93</v>
      </c>
      <c r="E852" s="114">
        <v>20</v>
      </c>
      <c r="F852" s="12"/>
      <c r="G852" s="12">
        <f t="shared" si="53"/>
        <v>0</v>
      </c>
    </row>
    <row r="853" spans="1:7" ht="38.25">
      <c r="A853" s="77" t="s">
        <v>2043</v>
      </c>
      <c r="B853" s="6" t="s">
        <v>1126</v>
      </c>
      <c r="C853" s="6" t="s">
        <v>1127</v>
      </c>
      <c r="D853" s="77" t="s">
        <v>20</v>
      </c>
      <c r="E853" s="114">
        <v>15</v>
      </c>
      <c r="F853" s="12"/>
      <c r="G853" s="12">
        <f t="shared" si="53"/>
        <v>0</v>
      </c>
    </row>
    <row r="854" spans="1:7">
      <c r="A854" s="77" t="s">
        <v>2044</v>
      </c>
      <c r="B854" s="6" t="s">
        <v>1128</v>
      </c>
      <c r="C854" s="6" t="s">
        <v>1129</v>
      </c>
      <c r="D854" s="77" t="s">
        <v>93</v>
      </c>
      <c r="E854" s="114">
        <v>60</v>
      </c>
      <c r="F854" s="12"/>
      <c r="G854" s="12">
        <f t="shared" si="53"/>
        <v>0</v>
      </c>
    </row>
    <row r="855" spans="1:7" ht="25.5">
      <c r="A855" s="77" t="s">
        <v>2045</v>
      </c>
      <c r="B855" s="6" t="s">
        <v>1130</v>
      </c>
      <c r="C855" s="6" t="s">
        <v>1131</v>
      </c>
      <c r="D855" s="77" t="s">
        <v>93</v>
      </c>
      <c r="E855" s="114">
        <v>60</v>
      </c>
      <c r="F855" s="12"/>
      <c r="G855" s="12">
        <f t="shared" si="53"/>
        <v>0</v>
      </c>
    </row>
    <row r="856" spans="1:7">
      <c r="A856" s="77" t="s">
        <v>2046</v>
      </c>
      <c r="B856" s="6" t="s">
        <v>1132</v>
      </c>
      <c r="C856" s="6" t="s">
        <v>1133</v>
      </c>
      <c r="D856" s="77" t="s">
        <v>93</v>
      </c>
      <c r="E856" s="114">
        <v>60</v>
      </c>
      <c r="F856" s="12"/>
      <c r="G856" s="12">
        <f t="shared" si="53"/>
        <v>0</v>
      </c>
    </row>
    <row r="857" spans="1:7" ht="38.25">
      <c r="A857" s="77" t="s">
        <v>2047</v>
      </c>
      <c r="B857" s="6" t="s">
        <v>1134</v>
      </c>
      <c r="C857" s="6" t="s">
        <v>1135</v>
      </c>
      <c r="D857" s="77" t="s">
        <v>93</v>
      </c>
      <c r="E857" s="114">
        <v>125</v>
      </c>
      <c r="F857" s="12"/>
      <c r="G857" s="12">
        <f t="shared" si="53"/>
        <v>0</v>
      </c>
    </row>
    <row r="858" spans="1:7" ht="25.5">
      <c r="A858" s="77" t="s">
        <v>2048</v>
      </c>
      <c r="B858" s="6" t="s">
        <v>1136</v>
      </c>
      <c r="C858" s="6" t="s">
        <v>1137</v>
      </c>
      <c r="D858" s="77" t="s">
        <v>93</v>
      </c>
      <c r="E858" s="114">
        <v>35</v>
      </c>
      <c r="F858" s="12"/>
      <c r="G858" s="12">
        <f t="shared" si="53"/>
        <v>0</v>
      </c>
    </row>
    <row r="859" spans="1:7" ht="25.5">
      <c r="A859" s="77" t="s">
        <v>2049</v>
      </c>
      <c r="B859" s="6" t="s">
        <v>1138</v>
      </c>
      <c r="C859" s="6" t="s">
        <v>1139</v>
      </c>
      <c r="D859" s="77" t="s">
        <v>102</v>
      </c>
      <c r="E859" s="114">
        <v>48</v>
      </c>
      <c r="F859" s="12"/>
      <c r="G859" s="12">
        <f t="shared" si="53"/>
        <v>0</v>
      </c>
    </row>
    <row r="860" spans="1:7" ht="38.25">
      <c r="A860" s="77" t="s">
        <v>2050</v>
      </c>
      <c r="B860" s="6" t="s">
        <v>1140</v>
      </c>
      <c r="C860" s="6" t="s">
        <v>1141</v>
      </c>
      <c r="D860" s="77" t="s">
        <v>102</v>
      </c>
      <c r="E860" s="114">
        <v>6</v>
      </c>
      <c r="F860" s="12"/>
      <c r="G860" s="12">
        <f t="shared" si="53"/>
        <v>0</v>
      </c>
    </row>
    <row r="861" spans="1:7">
      <c r="A861" s="77" t="s">
        <v>2051</v>
      </c>
      <c r="B861" s="6" t="s">
        <v>1142</v>
      </c>
      <c r="C861" s="6" t="s">
        <v>1143</v>
      </c>
      <c r="D861" s="77" t="s">
        <v>102</v>
      </c>
      <c r="E861" s="114">
        <v>6</v>
      </c>
      <c r="F861" s="12"/>
      <c r="G861" s="12">
        <f t="shared" si="53"/>
        <v>0</v>
      </c>
    </row>
    <row r="862" spans="1:7" ht="25.5">
      <c r="A862" s="77" t="s">
        <v>2052</v>
      </c>
      <c r="B862" s="6" t="s">
        <v>1144</v>
      </c>
      <c r="C862" s="6" t="s">
        <v>1145</v>
      </c>
      <c r="D862" s="77" t="s">
        <v>102</v>
      </c>
      <c r="E862" s="114">
        <v>6</v>
      </c>
      <c r="F862" s="12"/>
      <c r="G862" s="12">
        <f t="shared" si="53"/>
        <v>0</v>
      </c>
    </row>
    <row r="863" spans="1:7" ht="25.5">
      <c r="A863" s="77" t="s">
        <v>2053</v>
      </c>
      <c r="B863" s="6" t="s">
        <v>1138</v>
      </c>
      <c r="C863" s="6" t="s">
        <v>1146</v>
      </c>
      <c r="D863" s="77" t="s">
        <v>102</v>
      </c>
      <c r="E863" s="114">
        <v>16</v>
      </c>
      <c r="F863" s="12"/>
      <c r="G863" s="12">
        <f t="shared" si="53"/>
        <v>0</v>
      </c>
    </row>
    <row r="864" spans="1:7" ht="32.25" customHeight="1">
      <c r="A864" s="147"/>
      <c r="B864" s="147"/>
      <c r="C864" s="147"/>
      <c r="D864" s="143" t="s">
        <v>1897</v>
      </c>
      <c r="E864" s="143"/>
      <c r="F864" s="143"/>
      <c r="G864" s="88">
        <f>SUM(G646,G368,G7,G2)</f>
        <v>0</v>
      </c>
    </row>
    <row r="865" spans="1:7" ht="15.75">
      <c r="A865" s="147"/>
      <c r="B865" s="147"/>
      <c r="C865" s="147"/>
      <c r="D865" s="147" t="s">
        <v>1895</v>
      </c>
      <c r="E865" s="147"/>
      <c r="F865" s="147"/>
      <c r="G865" s="88">
        <f>G864*23%</f>
        <v>0</v>
      </c>
    </row>
    <row r="866" spans="1:7" ht="32.25" customHeight="1">
      <c r="A866" s="147"/>
      <c r="B866" s="147"/>
      <c r="C866" s="147"/>
      <c r="D866" s="143" t="s">
        <v>1896</v>
      </c>
      <c r="E866" s="143"/>
      <c r="F866" s="143"/>
      <c r="G866" s="88">
        <f>G864+G865</f>
        <v>0</v>
      </c>
    </row>
    <row r="869" spans="1:7" ht="15">
      <c r="E869" s="130"/>
      <c r="F869" s="99" t="s">
        <v>1957</v>
      </c>
      <c r="G869" s="93"/>
    </row>
    <row r="870" spans="1:7">
      <c r="E870" s="137" t="s">
        <v>1958</v>
      </c>
      <c r="F870" s="137"/>
      <c r="G870" s="137"/>
    </row>
  </sheetData>
  <mergeCells count="76">
    <mergeCell ref="E870:G870"/>
    <mergeCell ref="B848:C848"/>
    <mergeCell ref="D864:F864"/>
    <mergeCell ref="D865:F865"/>
    <mergeCell ref="D866:F866"/>
    <mergeCell ref="A864:C866"/>
    <mergeCell ref="B787:C787"/>
    <mergeCell ref="B808:C808"/>
    <mergeCell ref="B822:C822"/>
    <mergeCell ref="B828:C828"/>
    <mergeCell ref="B837:C837"/>
    <mergeCell ref="B729:C729"/>
    <mergeCell ref="B733:C733"/>
    <mergeCell ref="B740:C740"/>
    <mergeCell ref="B751:C751"/>
    <mergeCell ref="B775:C775"/>
    <mergeCell ref="B695:C695"/>
    <mergeCell ref="B709:C709"/>
    <mergeCell ref="B719:C719"/>
    <mergeCell ref="B720:C720"/>
    <mergeCell ref="B725:C725"/>
    <mergeCell ref="B634:C634"/>
    <mergeCell ref="A646:C646"/>
    <mergeCell ref="B649:C649"/>
    <mergeCell ref="B674:C674"/>
    <mergeCell ref="B688:C688"/>
    <mergeCell ref="B593:C593"/>
    <mergeCell ref="B600:C600"/>
    <mergeCell ref="B601:C601"/>
    <mergeCell ref="B612:C612"/>
    <mergeCell ref="B618:C618"/>
    <mergeCell ref="B480:C480"/>
    <mergeCell ref="B490:C490"/>
    <mergeCell ref="B574:C574"/>
    <mergeCell ref="B586:C586"/>
    <mergeCell ref="B587:C587"/>
    <mergeCell ref="B435:C435"/>
    <mergeCell ref="B442:C442"/>
    <mergeCell ref="B443:C443"/>
    <mergeCell ref="B474:C474"/>
    <mergeCell ref="B479:C479"/>
    <mergeCell ref="B393:C393"/>
    <mergeCell ref="B394:C394"/>
    <mergeCell ref="B403:C403"/>
    <mergeCell ref="B422:C422"/>
    <mergeCell ref="B423:C423"/>
    <mergeCell ref="B369:C369"/>
    <mergeCell ref="B370:C370"/>
    <mergeCell ref="B386:C386"/>
    <mergeCell ref="B122:C122"/>
    <mergeCell ref="B223:C223"/>
    <mergeCell ref="B359:C359"/>
    <mergeCell ref="B316:C316"/>
    <mergeCell ref="B350:C350"/>
    <mergeCell ref="B337:C337"/>
    <mergeCell ref="B302:C302"/>
    <mergeCell ref="B129:C129"/>
    <mergeCell ref="B145:C145"/>
    <mergeCell ref="B162:C162"/>
    <mergeCell ref="B172:C172"/>
    <mergeCell ref="A2:C2"/>
    <mergeCell ref="B647:C647"/>
    <mergeCell ref="B262:C262"/>
    <mergeCell ref="B112:C112"/>
    <mergeCell ref="B8:C8"/>
    <mergeCell ref="B87:C87"/>
    <mergeCell ref="B88:C88"/>
    <mergeCell ref="B101:C101"/>
    <mergeCell ref="B105:C105"/>
    <mergeCell ref="B184:C184"/>
    <mergeCell ref="B197:C197"/>
    <mergeCell ref="B213:C213"/>
    <mergeCell ref="B234:C234"/>
    <mergeCell ref="B247:C247"/>
    <mergeCell ref="A7:C7"/>
    <mergeCell ref="A368:C368"/>
  </mergeCells>
  <printOptions horizontalCentered="1"/>
  <pageMargins left="0.19685039370078741" right="0.15748031496062992" top="0.74803149606299213" bottom="0.74803149606299213" header="0.31496062992125984" footer="0.31496062992125984"/>
  <pageSetup paperSize="9" scale="84" orientation="portrait" horizontalDpi="4294967293" r:id="rId1"/>
  <headerFooter>
    <oddHeader>&amp;LNr sprawy: BZPiFZ.271.4.2019&amp;CPrzebudowa budynku nr 4 przy placu Jana Pawła II</oddHeader>
    <oddFooter>&amp;L&amp;A&amp;R&amp;P/&amp;N</oddFooter>
  </headerFooter>
  <rowBreaks count="1" manualBreakCount="1">
    <brk id="90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view="pageBreakPreview" topLeftCell="A62" zoomScaleNormal="100" zoomScaleSheetLayoutView="100" workbookViewId="0">
      <selection activeCell="E75" sqref="E75"/>
    </sheetView>
  </sheetViews>
  <sheetFormatPr defaultRowHeight="12.75"/>
  <cols>
    <col min="1" max="1" width="5.875" style="3" customWidth="1"/>
    <col min="2" max="2" width="14.375" style="4" customWidth="1"/>
    <col min="3" max="3" width="47.5" style="4" customWidth="1"/>
    <col min="4" max="4" width="5.875" style="3" customWidth="1"/>
    <col min="5" max="5" width="9.125" style="14" customWidth="1"/>
    <col min="6" max="6" width="11" style="14" bestFit="1" customWidth="1"/>
    <col min="7" max="7" width="14.25" style="14" customWidth="1"/>
    <col min="8" max="16384" width="9" style="1"/>
  </cols>
  <sheetData>
    <row r="1" spans="1:7" ht="25.5">
      <c r="A1" s="10" t="s">
        <v>0</v>
      </c>
      <c r="B1" s="11" t="s">
        <v>1</v>
      </c>
      <c r="C1" s="11" t="s">
        <v>2</v>
      </c>
      <c r="D1" s="11" t="s">
        <v>1199</v>
      </c>
      <c r="E1" s="15" t="s">
        <v>3</v>
      </c>
      <c r="F1" s="15" t="s">
        <v>873</v>
      </c>
      <c r="G1" s="15" t="s">
        <v>874</v>
      </c>
    </row>
    <row r="2" spans="1:7" ht="15.75">
      <c r="A2" s="144" t="s">
        <v>1899</v>
      </c>
      <c r="B2" s="145"/>
      <c r="C2" s="146"/>
      <c r="D2" s="82"/>
      <c r="E2" s="83"/>
      <c r="F2" s="83"/>
      <c r="G2" s="83">
        <f>SUM(G17,G3,G28)</f>
        <v>0</v>
      </c>
    </row>
    <row r="3" spans="1:7">
      <c r="A3" s="37">
        <v>1</v>
      </c>
      <c r="B3" s="148" t="s">
        <v>1967</v>
      </c>
      <c r="C3" s="149"/>
      <c r="D3" s="60"/>
      <c r="E3" s="39"/>
      <c r="F3" s="39"/>
      <c r="G3" s="39">
        <f>SUM(G4:G16)</f>
        <v>0</v>
      </c>
    </row>
    <row r="4" spans="1:7">
      <c r="A4" s="5" t="s">
        <v>380</v>
      </c>
      <c r="B4" s="6" t="s">
        <v>381</v>
      </c>
      <c r="C4" s="6" t="s">
        <v>382</v>
      </c>
      <c r="D4" s="77" t="s">
        <v>20</v>
      </c>
      <c r="E4" s="12">
        <f>6.8*15.64</f>
        <v>106.352</v>
      </c>
      <c r="F4" s="12"/>
      <c r="G4" s="12">
        <f>E4*F4</f>
        <v>0</v>
      </c>
    </row>
    <row r="5" spans="1:7">
      <c r="A5" s="5" t="s">
        <v>398</v>
      </c>
      <c r="B5" s="6" t="s">
        <v>226</v>
      </c>
      <c r="C5" s="6" t="s">
        <v>227</v>
      </c>
      <c r="D5" s="77" t="s">
        <v>93</v>
      </c>
      <c r="E5" s="12">
        <f>15.64*2</f>
        <v>31.28</v>
      </c>
      <c r="F5" s="12"/>
      <c r="G5" s="12">
        <f t="shared" ref="G5:G16" si="0">E5*F5</f>
        <v>0</v>
      </c>
    </row>
    <row r="6" spans="1:7">
      <c r="A6" s="5" t="s">
        <v>501</v>
      </c>
      <c r="B6" s="6" t="s">
        <v>228</v>
      </c>
      <c r="C6" s="6" t="s">
        <v>229</v>
      </c>
      <c r="D6" s="77" t="s">
        <v>93</v>
      </c>
      <c r="E6" s="12">
        <f>2.5*2</f>
        <v>5</v>
      </c>
      <c r="F6" s="12"/>
      <c r="G6" s="12">
        <f t="shared" si="0"/>
        <v>0</v>
      </c>
    </row>
    <row r="7" spans="1:7" ht="25.5">
      <c r="A7" s="5" t="s">
        <v>1200</v>
      </c>
      <c r="B7" s="6" t="s">
        <v>383</v>
      </c>
      <c r="C7" s="6" t="s">
        <v>384</v>
      </c>
      <c r="D7" s="77" t="s">
        <v>7</v>
      </c>
      <c r="E7" s="12">
        <f>6.8*15.64*0.15</f>
        <v>15.9528</v>
      </c>
      <c r="F7" s="12"/>
      <c r="G7" s="12">
        <f t="shared" si="0"/>
        <v>0</v>
      </c>
    </row>
    <row r="8" spans="1:7" ht="25.5">
      <c r="A8" s="5" t="s">
        <v>1201</v>
      </c>
      <c r="B8" s="6" t="s">
        <v>70</v>
      </c>
      <c r="C8" s="6" t="s">
        <v>71</v>
      </c>
      <c r="D8" s="77" t="s">
        <v>7</v>
      </c>
      <c r="E8" s="12">
        <f>15.953</f>
        <v>15.952999999999999</v>
      </c>
      <c r="F8" s="12"/>
      <c r="G8" s="12">
        <f t="shared" si="0"/>
        <v>0</v>
      </c>
    </row>
    <row r="9" spans="1:7">
      <c r="A9" s="5" t="s">
        <v>1202</v>
      </c>
      <c r="B9" s="6" t="s">
        <v>72</v>
      </c>
      <c r="C9" s="6" t="s">
        <v>73</v>
      </c>
      <c r="D9" s="77" t="s">
        <v>7</v>
      </c>
      <c r="E9" s="12">
        <f>15.953</f>
        <v>15.952999999999999</v>
      </c>
      <c r="F9" s="12"/>
      <c r="G9" s="12">
        <f t="shared" si="0"/>
        <v>0</v>
      </c>
    </row>
    <row r="10" spans="1:7" ht="25.5">
      <c r="A10" s="5" t="s">
        <v>1203</v>
      </c>
      <c r="B10" s="6" t="s">
        <v>100</v>
      </c>
      <c r="C10" s="6" t="s">
        <v>385</v>
      </c>
      <c r="D10" s="77" t="s">
        <v>102</v>
      </c>
      <c r="E10" s="12">
        <v>1</v>
      </c>
      <c r="F10" s="12"/>
      <c r="G10" s="12">
        <f t="shared" si="0"/>
        <v>0</v>
      </c>
    </row>
    <row r="11" spans="1:7" ht="25.5">
      <c r="A11" s="5" t="s">
        <v>1204</v>
      </c>
      <c r="B11" s="6" t="s">
        <v>100</v>
      </c>
      <c r="C11" s="6" t="s">
        <v>101</v>
      </c>
      <c r="D11" s="77" t="s">
        <v>102</v>
      </c>
      <c r="E11" s="12">
        <v>9</v>
      </c>
      <c r="F11" s="12"/>
      <c r="G11" s="12">
        <f t="shared" si="0"/>
        <v>0</v>
      </c>
    </row>
    <row r="12" spans="1:7" ht="25.5">
      <c r="A12" s="5" t="s">
        <v>1205</v>
      </c>
      <c r="B12" s="6" t="s">
        <v>149</v>
      </c>
      <c r="C12" s="6" t="s">
        <v>386</v>
      </c>
      <c r="D12" s="77" t="s">
        <v>20</v>
      </c>
      <c r="E12" s="12">
        <f>2.76*1.85</f>
        <v>5.1059999999999999</v>
      </c>
      <c r="F12" s="12"/>
      <c r="G12" s="12">
        <f t="shared" si="0"/>
        <v>0</v>
      </c>
    </row>
    <row r="13" spans="1:7">
      <c r="A13" s="5" t="s">
        <v>1206</v>
      </c>
      <c r="B13" s="6" t="s">
        <v>98</v>
      </c>
      <c r="C13" s="6" t="s">
        <v>99</v>
      </c>
      <c r="D13" s="77" t="s">
        <v>7</v>
      </c>
      <c r="E13" s="12">
        <f>43.92*2.33*0.27</f>
        <v>27.630072000000002</v>
      </c>
      <c r="F13" s="12"/>
      <c r="G13" s="12">
        <f t="shared" si="0"/>
        <v>0</v>
      </c>
    </row>
    <row r="14" spans="1:7" ht="25.5">
      <c r="A14" s="5" t="s">
        <v>1207</v>
      </c>
      <c r="B14" s="6" t="s">
        <v>103</v>
      </c>
      <c r="C14" s="6" t="s">
        <v>104</v>
      </c>
      <c r="D14" s="77" t="s">
        <v>7</v>
      </c>
      <c r="E14" s="12">
        <f>15.5*6.46*0.25+1.6*2.5*0.25</f>
        <v>26.032499999999999</v>
      </c>
      <c r="F14" s="12"/>
      <c r="G14" s="12">
        <f t="shared" si="0"/>
        <v>0</v>
      </c>
    </row>
    <row r="15" spans="1:7" ht="25.5">
      <c r="A15" s="5" t="s">
        <v>1208</v>
      </c>
      <c r="B15" s="6" t="s">
        <v>70</v>
      </c>
      <c r="C15" s="6" t="s">
        <v>71</v>
      </c>
      <c r="D15" s="77" t="s">
        <v>7</v>
      </c>
      <c r="E15" s="12">
        <f>15.5*6.46*0.25+1.6*2.5*0.25</f>
        <v>26.032499999999999</v>
      </c>
      <c r="F15" s="12"/>
      <c r="G15" s="12">
        <f t="shared" si="0"/>
        <v>0</v>
      </c>
    </row>
    <row r="16" spans="1:7">
      <c r="A16" s="5" t="s">
        <v>1209</v>
      </c>
      <c r="B16" s="6" t="s">
        <v>72</v>
      </c>
      <c r="C16" s="6" t="s">
        <v>73</v>
      </c>
      <c r="D16" s="77" t="s">
        <v>7</v>
      </c>
      <c r="E16" s="12">
        <f>15.5*6.46*0.25+1.6*2.5*0.25</f>
        <v>26.032499999999999</v>
      </c>
      <c r="F16" s="12"/>
      <c r="G16" s="12">
        <f t="shared" si="0"/>
        <v>0</v>
      </c>
    </row>
    <row r="17" spans="1:7">
      <c r="A17" s="37">
        <v>2</v>
      </c>
      <c r="B17" s="148" t="s">
        <v>387</v>
      </c>
      <c r="C17" s="149"/>
      <c r="D17" s="37"/>
      <c r="E17" s="39"/>
      <c r="F17" s="39"/>
      <c r="G17" s="39">
        <f>SUM(G18:G27)</f>
        <v>0</v>
      </c>
    </row>
    <row r="18" spans="1:7">
      <c r="A18" s="5" t="s">
        <v>95</v>
      </c>
      <c r="B18" s="6" t="s">
        <v>224</v>
      </c>
      <c r="C18" s="6" t="s">
        <v>225</v>
      </c>
      <c r="D18" s="77" t="s">
        <v>20</v>
      </c>
      <c r="E18" s="12">
        <f>5.52*3.13</f>
        <v>17.2776</v>
      </c>
      <c r="F18" s="12"/>
      <c r="G18" s="12">
        <f>E18*F18</f>
        <v>0</v>
      </c>
    </row>
    <row r="19" spans="1:7" ht="25.5">
      <c r="A19" s="5" t="s">
        <v>108</v>
      </c>
      <c r="B19" s="6" t="s">
        <v>232</v>
      </c>
      <c r="C19" s="6" t="s">
        <v>233</v>
      </c>
      <c r="D19" s="77" t="s">
        <v>20</v>
      </c>
      <c r="E19" s="12">
        <f>5.52*3.13</f>
        <v>17.2776</v>
      </c>
      <c r="F19" s="12"/>
      <c r="G19" s="12">
        <f t="shared" ref="G19:G27" si="1">E19*F19</f>
        <v>0</v>
      </c>
    </row>
    <row r="20" spans="1:7">
      <c r="A20" s="5" t="s">
        <v>111</v>
      </c>
      <c r="B20" s="6" t="s">
        <v>388</v>
      </c>
      <c r="C20" s="6" t="s">
        <v>389</v>
      </c>
      <c r="D20" s="77" t="s">
        <v>20</v>
      </c>
      <c r="E20" s="12">
        <f>5.52*3.13</f>
        <v>17.2776</v>
      </c>
      <c r="F20" s="12"/>
      <c r="G20" s="12">
        <f t="shared" si="1"/>
        <v>0</v>
      </c>
    </row>
    <row r="21" spans="1:7">
      <c r="A21" s="5" t="s">
        <v>124</v>
      </c>
      <c r="B21" s="6" t="s">
        <v>390</v>
      </c>
      <c r="C21" s="6" t="s">
        <v>391</v>
      </c>
      <c r="D21" s="77" t="s">
        <v>20</v>
      </c>
      <c r="E21" s="12">
        <f>(5.42+5.42+2.93)*2</f>
        <v>27.54</v>
      </c>
      <c r="F21" s="12"/>
      <c r="G21" s="12">
        <f t="shared" si="1"/>
        <v>0</v>
      </c>
    </row>
    <row r="22" spans="1:7" ht="25.5">
      <c r="A22" s="5" t="s">
        <v>145</v>
      </c>
      <c r="B22" s="6" t="s">
        <v>70</v>
      </c>
      <c r="C22" s="6" t="s">
        <v>71</v>
      </c>
      <c r="D22" s="77" t="s">
        <v>7</v>
      </c>
      <c r="E22" s="12">
        <f>17.278*0.1+27.54*0.1</f>
        <v>4.4817999999999998</v>
      </c>
      <c r="F22" s="12"/>
      <c r="G22" s="12">
        <f t="shared" si="1"/>
        <v>0</v>
      </c>
    </row>
    <row r="23" spans="1:7">
      <c r="A23" s="5" t="s">
        <v>1513</v>
      </c>
      <c r="B23" s="6" t="s">
        <v>72</v>
      </c>
      <c r="C23" s="6" t="s">
        <v>73</v>
      </c>
      <c r="D23" s="77" t="s">
        <v>7</v>
      </c>
      <c r="E23" s="12">
        <f>17.278*0.1+27.54*0.1</f>
        <v>4.4817999999999998</v>
      </c>
      <c r="F23" s="12"/>
      <c r="G23" s="12">
        <f t="shared" si="1"/>
        <v>0</v>
      </c>
    </row>
    <row r="24" spans="1:7" ht="25.5">
      <c r="A24" s="5" t="s">
        <v>1514</v>
      </c>
      <c r="B24" s="6" t="s">
        <v>149</v>
      </c>
      <c r="C24" s="6" t="s">
        <v>386</v>
      </c>
      <c r="D24" s="77" t="s">
        <v>20</v>
      </c>
      <c r="E24" s="12">
        <f>2.71*1.91</f>
        <v>5.1760999999999999</v>
      </c>
      <c r="F24" s="12"/>
      <c r="G24" s="12">
        <f t="shared" si="1"/>
        <v>0</v>
      </c>
    </row>
    <row r="25" spans="1:7" ht="25.5">
      <c r="A25" s="5" t="s">
        <v>1515</v>
      </c>
      <c r="B25" s="6" t="s">
        <v>103</v>
      </c>
      <c r="C25" s="6" t="s">
        <v>104</v>
      </c>
      <c r="D25" s="77" t="s">
        <v>7</v>
      </c>
      <c r="E25" s="12">
        <f>5.42*2.93*0.15</f>
        <v>2.3820900000000003</v>
      </c>
      <c r="F25" s="12"/>
      <c r="G25" s="12">
        <f t="shared" si="1"/>
        <v>0</v>
      </c>
    </row>
    <row r="26" spans="1:7" ht="25.5">
      <c r="A26" s="5" t="s">
        <v>1516</v>
      </c>
      <c r="B26" s="6" t="s">
        <v>70</v>
      </c>
      <c r="C26" s="6" t="s">
        <v>71</v>
      </c>
      <c r="D26" s="77" t="s">
        <v>7</v>
      </c>
      <c r="E26" s="12">
        <v>2.3820000000000001</v>
      </c>
      <c r="F26" s="12"/>
      <c r="G26" s="12">
        <f t="shared" si="1"/>
        <v>0</v>
      </c>
    </row>
    <row r="27" spans="1:7">
      <c r="A27" s="5" t="s">
        <v>1517</v>
      </c>
      <c r="B27" s="6" t="s">
        <v>72</v>
      </c>
      <c r="C27" s="6" t="s">
        <v>73</v>
      </c>
      <c r="D27" s="77" t="s">
        <v>7</v>
      </c>
      <c r="E27" s="12">
        <v>2.3820000000000001</v>
      </c>
      <c r="F27" s="12"/>
      <c r="G27" s="12">
        <f t="shared" si="1"/>
        <v>0</v>
      </c>
    </row>
    <row r="28" spans="1:7">
      <c r="A28" s="37">
        <v>3</v>
      </c>
      <c r="B28" s="148" t="s">
        <v>1518</v>
      </c>
      <c r="C28" s="149"/>
      <c r="D28" s="37"/>
      <c r="E28" s="39"/>
      <c r="F28" s="39"/>
      <c r="G28" s="39">
        <f>SUM(G29:G48)</f>
        <v>0</v>
      </c>
    </row>
    <row r="29" spans="1:7" ht="25.5">
      <c r="A29" s="5" t="s">
        <v>148</v>
      </c>
      <c r="B29" s="6" t="s">
        <v>100</v>
      </c>
      <c r="C29" s="6" t="s">
        <v>385</v>
      </c>
      <c r="D29" s="77" t="s">
        <v>102</v>
      </c>
      <c r="E29" s="12">
        <f>3+3+2</f>
        <v>8</v>
      </c>
      <c r="F29" s="12"/>
      <c r="G29" s="12">
        <f>E29*F29</f>
        <v>0</v>
      </c>
    </row>
    <row r="30" spans="1:7" ht="25.5">
      <c r="A30" s="5" t="s">
        <v>153</v>
      </c>
      <c r="B30" s="6" t="s">
        <v>100</v>
      </c>
      <c r="C30" s="6" t="s">
        <v>101</v>
      </c>
      <c r="D30" s="77" t="s">
        <v>102</v>
      </c>
      <c r="E30" s="12">
        <v>9</v>
      </c>
      <c r="F30" s="12"/>
      <c r="G30" s="12">
        <f t="shared" ref="G30:G48" si="2">E30*F30</f>
        <v>0</v>
      </c>
    </row>
    <row r="31" spans="1:7">
      <c r="A31" s="5" t="s">
        <v>163</v>
      </c>
      <c r="B31" s="6" t="s">
        <v>224</v>
      </c>
      <c r="C31" s="6" t="s">
        <v>225</v>
      </c>
      <c r="D31" s="77" t="s">
        <v>20</v>
      </c>
      <c r="E31" s="12">
        <f>7.02*(9.45+9.3)</f>
        <v>131.625</v>
      </c>
      <c r="F31" s="12"/>
      <c r="G31" s="12">
        <f t="shared" si="2"/>
        <v>0</v>
      </c>
    </row>
    <row r="32" spans="1:7" ht="25.5">
      <c r="A32" s="5" t="s">
        <v>176</v>
      </c>
      <c r="B32" s="6" t="s">
        <v>232</v>
      </c>
      <c r="C32" s="6" t="s">
        <v>233</v>
      </c>
      <c r="D32" s="77" t="s">
        <v>20</v>
      </c>
      <c r="E32" s="12">
        <f>7.02*(9.45+9.3)</f>
        <v>131.625</v>
      </c>
      <c r="F32" s="12"/>
      <c r="G32" s="12">
        <f t="shared" si="2"/>
        <v>0</v>
      </c>
    </row>
    <row r="33" spans="1:7">
      <c r="A33" s="5" t="s">
        <v>1519</v>
      </c>
      <c r="B33" s="6" t="s">
        <v>388</v>
      </c>
      <c r="C33" s="6" t="s">
        <v>389</v>
      </c>
      <c r="D33" s="77" t="s">
        <v>20</v>
      </c>
      <c r="E33" s="12">
        <f>7.02*(9.45+9.3)</f>
        <v>131.625</v>
      </c>
      <c r="F33" s="12"/>
      <c r="G33" s="12">
        <f t="shared" si="2"/>
        <v>0</v>
      </c>
    </row>
    <row r="34" spans="1:7">
      <c r="A34" s="5" t="s">
        <v>1520</v>
      </c>
      <c r="B34" s="6" t="s">
        <v>226</v>
      </c>
      <c r="C34" s="6" t="s">
        <v>227</v>
      </c>
      <c r="D34" s="77" t="s">
        <v>93</v>
      </c>
      <c r="E34" s="12">
        <f>9.45+9.3</f>
        <v>18.75</v>
      </c>
      <c r="F34" s="12"/>
      <c r="G34" s="12">
        <f t="shared" si="2"/>
        <v>0</v>
      </c>
    </row>
    <row r="35" spans="1:7">
      <c r="A35" s="5" t="s">
        <v>1521</v>
      </c>
      <c r="B35" s="6" t="s">
        <v>228</v>
      </c>
      <c r="C35" s="6" t="s">
        <v>229</v>
      </c>
      <c r="D35" s="77" t="s">
        <v>93</v>
      </c>
      <c r="E35" s="12">
        <f>3.8+6.5</f>
        <v>10.3</v>
      </c>
      <c r="F35" s="12"/>
      <c r="G35" s="12">
        <f t="shared" si="2"/>
        <v>0</v>
      </c>
    </row>
    <row r="36" spans="1:7">
      <c r="A36" s="5" t="s">
        <v>1522</v>
      </c>
      <c r="B36" s="6" t="s">
        <v>98</v>
      </c>
      <c r="C36" s="6" t="s">
        <v>99</v>
      </c>
      <c r="D36" s="77" t="s">
        <v>7</v>
      </c>
      <c r="E36" s="12">
        <f>13.3+21.4+22.6+13.93+62.4</f>
        <v>133.63</v>
      </c>
      <c r="F36" s="12"/>
      <c r="G36" s="12">
        <f t="shared" si="2"/>
        <v>0</v>
      </c>
    </row>
    <row r="37" spans="1:7">
      <c r="A37" s="5" t="s">
        <v>1523</v>
      </c>
      <c r="B37" s="6" t="s">
        <v>194</v>
      </c>
      <c r="C37" s="6" t="s">
        <v>195</v>
      </c>
      <c r="D37" s="77" t="s">
        <v>20</v>
      </c>
      <c r="E37" s="12">
        <v>42</v>
      </c>
      <c r="F37" s="12"/>
      <c r="G37" s="12">
        <f t="shared" si="2"/>
        <v>0</v>
      </c>
    </row>
    <row r="38" spans="1:7">
      <c r="A38" s="5" t="s">
        <v>1524</v>
      </c>
      <c r="B38" s="6" t="s">
        <v>196</v>
      </c>
      <c r="C38" s="6" t="s">
        <v>197</v>
      </c>
      <c r="D38" s="77" t="s">
        <v>20</v>
      </c>
      <c r="E38" s="12">
        <v>42</v>
      </c>
      <c r="F38" s="12"/>
      <c r="G38" s="12">
        <f t="shared" si="2"/>
        <v>0</v>
      </c>
    </row>
    <row r="39" spans="1:7">
      <c r="A39" s="5" t="s">
        <v>1525</v>
      </c>
      <c r="B39" s="6" t="s">
        <v>392</v>
      </c>
      <c r="C39" s="6" t="s">
        <v>393</v>
      </c>
      <c r="D39" s="77" t="s">
        <v>20</v>
      </c>
      <c r="E39" s="12">
        <v>42</v>
      </c>
      <c r="F39" s="12"/>
      <c r="G39" s="12">
        <f t="shared" si="2"/>
        <v>0</v>
      </c>
    </row>
    <row r="40" spans="1:7">
      <c r="A40" s="5" t="s">
        <v>1526</v>
      </c>
      <c r="B40" s="6" t="s">
        <v>192</v>
      </c>
      <c r="C40" s="6" t="s">
        <v>193</v>
      </c>
      <c r="D40" s="77" t="s">
        <v>20</v>
      </c>
      <c r="E40" s="12">
        <v>42</v>
      </c>
      <c r="F40" s="12"/>
      <c r="G40" s="12">
        <f t="shared" si="2"/>
        <v>0</v>
      </c>
    </row>
    <row r="41" spans="1:7">
      <c r="A41" s="5" t="s">
        <v>1527</v>
      </c>
      <c r="B41" s="6" t="s">
        <v>198</v>
      </c>
      <c r="C41" s="6" t="s">
        <v>199</v>
      </c>
      <c r="D41" s="77" t="s">
        <v>93</v>
      </c>
      <c r="E41" s="12">
        <f>5.4*9</f>
        <v>48.6</v>
      </c>
      <c r="F41" s="12"/>
      <c r="G41" s="12">
        <f t="shared" si="2"/>
        <v>0</v>
      </c>
    </row>
    <row r="42" spans="1:7" ht="25.5">
      <c r="A42" s="5" t="s">
        <v>1528</v>
      </c>
      <c r="B42" s="6" t="s">
        <v>200</v>
      </c>
      <c r="C42" s="6" t="s">
        <v>201</v>
      </c>
      <c r="D42" s="77" t="s">
        <v>102</v>
      </c>
      <c r="E42" s="12">
        <v>1</v>
      </c>
      <c r="F42" s="12"/>
      <c r="G42" s="12">
        <f t="shared" si="2"/>
        <v>0</v>
      </c>
    </row>
    <row r="43" spans="1:7" ht="25.5">
      <c r="A43" s="5" t="s">
        <v>1529</v>
      </c>
      <c r="B43" s="6" t="s">
        <v>70</v>
      </c>
      <c r="C43" s="6" t="s">
        <v>71</v>
      </c>
      <c r="D43" s="77" t="s">
        <v>7</v>
      </c>
      <c r="E43" s="12">
        <f>131.625*0.1+133.63+42*0.25</f>
        <v>157.29249999999999</v>
      </c>
      <c r="F43" s="12"/>
      <c r="G43" s="12">
        <f t="shared" si="2"/>
        <v>0</v>
      </c>
    </row>
    <row r="44" spans="1:7">
      <c r="A44" s="5" t="s">
        <v>1530</v>
      </c>
      <c r="B44" s="6" t="s">
        <v>72</v>
      </c>
      <c r="C44" s="6" t="s">
        <v>73</v>
      </c>
      <c r="D44" s="77" t="s">
        <v>7</v>
      </c>
      <c r="E44" s="12">
        <f>131.625*0.1+133.63+42*0.25</f>
        <v>157.29249999999999</v>
      </c>
      <c r="F44" s="12"/>
      <c r="G44" s="12">
        <f t="shared" si="2"/>
        <v>0</v>
      </c>
    </row>
    <row r="45" spans="1:7" ht="25.5">
      <c r="A45" s="5" t="s">
        <v>1531</v>
      </c>
      <c r="B45" s="6" t="s">
        <v>103</v>
      </c>
      <c r="C45" s="6" t="s">
        <v>104</v>
      </c>
      <c r="D45" s="77" t="s">
        <v>7</v>
      </c>
      <c r="E45" s="12">
        <f>6.08*18.14*0.2</f>
        <v>22.058240000000001</v>
      </c>
      <c r="F45" s="12"/>
      <c r="G45" s="12">
        <f t="shared" si="2"/>
        <v>0</v>
      </c>
    </row>
    <row r="46" spans="1:7">
      <c r="A46" s="5" t="s">
        <v>1532</v>
      </c>
      <c r="B46" s="6" t="s">
        <v>394</v>
      </c>
      <c r="C46" s="6" t="s">
        <v>395</v>
      </c>
      <c r="D46" s="77" t="s">
        <v>7</v>
      </c>
      <c r="E46" s="12">
        <v>1</v>
      </c>
      <c r="F46" s="12"/>
      <c r="G46" s="12">
        <f t="shared" si="2"/>
        <v>0</v>
      </c>
    </row>
    <row r="47" spans="1:7" ht="25.5">
      <c r="A47" s="5" t="s">
        <v>1533</v>
      </c>
      <c r="B47" s="6" t="s">
        <v>70</v>
      </c>
      <c r="C47" s="6" t="s">
        <v>71</v>
      </c>
      <c r="D47" s="77" t="s">
        <v>7</v>
      </c>
      <c r="E47" s="12">
        <f>6.08*18.14*0.2+1</f>
        <v>23.058240000000001</v>
      </c>
      <c r="F47" s="12"/>
      <c r="G47" s="12">
        <f t="shared" si="2"/>
        <v>0</v>
      </c>
    </row>
    <row r="48" spans="1:7">
      <c r="A48" s="5" t="s">
        <v>1534</v>
      </c>
      <c r="B48" s="6" t="s">
        <v>72</v>
      </c>
      <c r="C48" s="6" t="s">
        <v>73</v>
      </c>
      <c r="D48" s="77" t="s">
        <v>7</v>
      </c>
      <c r="E48" s="12">
        <f>6.08*18.14*0.2+1</f>
        <v>23.058240000000001</v>
      </c>
      <c r="F48" s="12"/>
      <c r="G48" s="12">
        <f t="shared" si="2"/>
        <v>0</v>
      </c>
    </row>
    <row r="49" spans="1:7" ht="24.75" customHeight="1">
      <c r="A49" s="89"/>
      <c r="B49" s="156" t="s">
        <v>1898</v>
      </c>
      <c r="C49" s="157"/>
      <c r="D49" s="89"/>
      <c r="E49" s="90"/>
      <c r="F49" s="90"/>
      <c r="G49" s="90">
        <f>SUM(G51,G50,G52:G78)</f>
        <v>0</v>
      </c>
    </row>
    <row r="50" spans="1:7" ht="25.5">
      <c r="A50" s="47">
        <v>1</v>
      </c>
      <c r="B50" s="6" t="s">
        <v>342</v>
      </c>
      <c r="C50" s="6" t="s">
        <v>343</v>
      </c>
      <c r="D50" s="47" t="s">
        <v>20</v>
      </c>
      <c r="E50" s="12">
        <f>236+118</f>
        <v>354</v>
      </c>
      <c r="F50" s="12"/>
      <c r="G50" s="12">
        <f>E50*F50</f>
        <v>0</v>
      </c>
    </row>
    <row r="51" spans="1:7" ht="38.25">
      <c r="A51" s="47">
        <v>2</v>
      </c>
      <c r="B51" s="6" t="s">
        <v>344</v>
      </c>
      <c r="C51" s="6" t="s">
        <v>345</v>
      </c>
      <c r="D51" s="47" t="s">
        <v>20</v>
      </c>
      <c r="E51" s="12">
        <f>236+118</f>
        <v>354</v>
      </c>
      <c r="F51" s="12"/>
      <c r="G51" s="12">
        <f t="shared" ref="G51:G78" si="3">E51*F51</f>
        <v>0</v>
      </c>
    </row>
    <row r="52" spans="1:7" ht="25.5">
      <c r="A52" s="77">
        <v>3</v>
      </c>
      <c r="B52" s="6" t="s">
        <v>70</v>
      </c>
      <c r="C52" s="6" t="s">
        <v>346</v>
      </c>
      <c r="D52" s="47" t="s">
        <v>7</v>
      </c>
      <c r="E52" s="12">
        <f>354*0.43</f>
        <v>152.22</v>
      </c>
      <c r="F52" s="12"/>
      <c r="G52" s="12">
        <f t="shared" si="3"/>
        <v>0</v>
      </c>
    </row>
    <row r="53" spans="1:7">
      <c r="A53" s="77">
        <v>4</v>
      </c>
      <c r="B53" s="6" t="s">
        <v>72</v>
      </c>
      <c r="C53" s="6" t="s">
        <v>347</v>
      </c>
      <c r="D53" s="47" t="s">
        <v>7</v>
      </c>
      <c r="E53" s="12">
        <f>354*0.43</f>
        <v>152.22</v>
      </c>
      <c r="F53" s="12"/>
      <c r="G53" s="12">
        <f t="shared" si="3"/>
        <v>0</v>
      </c>
    </row>
    <row r="54" spans="1:7" ht="25.5">
      <c r="A54" s="77">
        <v>5</v>
      </c>
      <c r="B54" s="6" t="s">
        <v>348</v>
      </c>
      <c r="C54" s="6" t="s">
        <v>349</v>
      </c>
      <c r="D54" s="47" t="s">
        <v>93</v>
      </c>
      <c r="E54" s="12">
        <f>167+28</f>
        <v>195</v>
      </c>
      <c r="F54" s="12"/>
      <c r="G54" s="12">
        <f t="shared" si="3"/>
        <v>0</v>
      </c>
    </row>
    <row r="55" spans="1:7">
      <c r="A55" s="77">
        <v>6</v>
      </c>
      <c r="B55" s="6" t="s">
        <v>350</v>
      </c>
      <c r="C55" s="6" t="s">
        <v>351</v>
      </c>
      <c r="D55" s="47" t="s">
        <v>7</v>
      </c>
      <c r="E55" s="12">
        <f>195*0.1</f>
        <v>19.5</v>
      </c>
      <c r="F55" s="12"/>
      <c r="G55" s="12">
        <f t="shared" si="3"/>
        <v>0</v>
      </c>
    </row>
    <row r="56" spans="1:7" ht="25.5">
      <c r="A56" s="77">
        <v>7</v>
      </c>
      <c r="B56" s="6" t="s">
        <v>352</v>
      </c>
      <c r="C56" s="6" t="s">
        <v>353</v>
      </c>
      <c r="D56" s="47" t="s">
        <v>93</v>
      </c>
      <c r="E56" s="12">
        <v>195</v>
      </c>
      <c r="F56" s="12"/>
      <c r="G56" s="12">
        <f t="shared" si="3"/>
        <v>0</v>
      </c>
    </row>
    <row r="57" spans="1:7">
      <c r="A57" s="77">
        <v>8</v>
      </c>
      <c r="B57" s="6" t="s">
        <v>354</v>
      </c>
      <c r="C57" s="6" t="s">
        <v>355</v>
      </c>
      <c r="D57" s="47" t="s">
        <v>7</v>
      </c>
      <c r="E57" s="12">
        <f>11.5*0.15</f>
        <v>1.7249999999999999</v>
      </c>
      <c r="F57" s="12"/>
      <c r="G57" s="12">
        <f t="shared" si="3"/>
        <v>0</v>
      </c>
    </row>
    <row r="58" spans="1:7" ht="25.5">
      <c r="A58" s="77">
        <v>9</v>
      </c>
      <c r="B58" s="6" t="s">
        <v>356</v>
      </c>
      <c r="C58" s="6" t="s">
        <v>357</v>
      </c>
      <c r="D58" s="47" t="s">
        <v>93</v>
      </c>
      <c r="E58" s="12">
        <v>11.5</v>
      </c>
      <c r="F58" s="12"/>
      <c r="G58" s="12">
        <f t="shared" si="3"/>
        <v>0</v>
      </c>
    </row>
    <row r="59" spans="1:7" ht="25.5">
      <c r="A59" s="77">
        <v>10</v>
      </c>
      <c r="B59" s="6" t="s">
        <v>287</v>
      </c>
      <c r="C59" s="6" t="s">
        <v>358</v>
      </c>
      <c r="D59" s="47" t="s">
        <v>20</v>
      </c>
      <c r="E59" s="12">
        <v>236</v>
      </c>
      <c r="F59" s="12"/>
      <c r="G59" s="12">
        <f t="shared" si="3"/>
        <v>0</v>
      </c>
    </row>
    <row r="60" spans="1:7" ht="25.5">
      <c r="A60" s="77">
        <v>11</v>
      </c>
      <c r="B60" s="6" t="s">
        <v>359</v>
      </c>
      <c r="C60" s="6" t="s">
        <v>360</v>
      </c>
      <c r="D60" s="47" t="s">
        <v>20</v>
      </c>
      <c r="E60" s="12">
        <f>236+118</f>
        <v>354</v>
      </c>
      <c r="F60" s="12"/>
      <c r="G60" s="12">
        <f t="shared" si="3"/>
        <v>0</v>
      </c>
    </row>
    <row r="61" spans="1:7" ht="25.5">
      <c r="A61" s="77">
        <v>12</v>
      </c>
      <c r="B61" s="6" t="s">
        <v>289</v>
      </c>
      <c r="C61" s="6" t="s">
        <v>361</v>
      </c>
      <c r="D61" s="47" t="s">
        <v>20</v>
      </c>
      <c r="E61" s="12">
        <f>236+118</f>
        <v>354</v>
      </c>
      <c r="F61" s="12"/>
      <c r="G61" s="12">
        <f t="shared" si="3"/>
        <v>0</v>
      </c>
    </row>
    <row r="62" spans="1:7" ht="25.5">
      <c r="A62" s="77">
        <v>13</v>
      </c>
      <c r="B62" s="6" t="s">
        <v>291</v>
      </c>
      <c r="C62" s="6" t="s">
        <v>362</v>
      </c>
      <c r="D62" s="47" t="s">
        <v>20</v>
      </c>
      <c r="E62" s="12">
        <f>236+118</f>
        <v>354</v>
      </c>
      <c r="F62" s="12"/>
      <c r="G62" s="12">
        <f t="shared" si="3"/>
        <v>0</v>
      </c>
    </row>
    <row r="63" spans="1:7" ht="25.5">
      <c r="A63" s="77">
        <v>14</v>
      </c>
      <c r="B63" s="6" t="s">
        <v>363</v>
      </c>
      <c r="C63" s="6" t="s">
        <v>364</v>
      </c>
      <c r="D63" s="47" t="s">
        <v>20</v>
      </c>
      <c r="E63" s="12">
        <f>236+118</f>
        <v>354</v>
      </c>
      <c r="F63" s="12"/>
      <c r="G63" s="12">
        <f t="shared" si="3"/>
        <v>0</v>
      </c>
    </row>
    <row r="64" spans="1:7" ht="38.25">
      <c r="A64" s="77">
        <v>15</v>
      </c>
      <c r="B64" s="6" t="s">
        <v>365</v>
      </c>
      <c r="C64" s="6" t="s">
        <v>366</v>
      </c>
      <c r="D64" s="47" t="s">
        <v>20</v>
      </c>
      <c r="E64" s="12">
        <f>236+118</f>
        <v>354</v>
      </c>
      <c r="F64" s="12"/>
      <c r="G64" s="12">
        <f t="shared" si="3"/>
        <v>0</v>
      </c>
    </row>
    <row r="65" spans="1:7" ht="25.5">
      <c r="A65" s="77">
        <v>16</v>
      </c>
      <c r="B65" s="6" t="s">
        <v>293</v>
      </c>
      <c r="C65" s="6" t="s">
        <v>367</v>
      </c>
      <c r="D65" s="47" t="s">
        <v>20</v>
      </c>
      <c r="E65" s="12">
        <v>236</v>
      </c>
      <c r="F65" s="12"/>
      <c r="G65" s="12">
        <f t="shared" si="3"/>
        <v>0</v>
      </c>
    </row>
    <row r="66" spans="1:7">
      <c r="A66" s="77">
        <v>17</v>
      </c>
      <c r="B66" s="6" t="s">
        <v>293</v>
      </c>
      <c r="C66" s="6" t="s">
        <v>368</v>
      </c>
      <c r="D66" s="47" t="s">
        <v>20</v>
      </c>
      <c r="E66" s="12">
        <v>118</v>
      </c>
      <c r="F66" s="12"/>
      <c r="G66" s="12">
        <f t="shared" si="3"/>
        <v>0</v>
      </c>
    </row>
    <row r="67" spans="1:7" ht="25.5">
      <c r="A67" s="77">
        <v>18</v>
      </c>
      <c r="B67" s="6" t="s">
        <v>369</v>
      </c>
      <c r="C67" s="6" t="s">
        <v>370</v>
      </c>
      <c r="D67" s="47" t="s">
        <v>7</v>
      </c>
      <c r="E67" s="12">
        <f>56*0.3</f>
        <v>16.8</v>
      </c>
      <c r="F67" s="12"/>
      <c r="G67" s="12">
        <f t="shared" si="3"/>
        <v>0</v>
      </c>
    </row>
    <row r="68" spans="1:7">
      <c r="A68" s="77">
        <v>19</v>
      </c>
      <c r="B68" s="6" t="s">
        <v>72</v>
      </c>
      <c r="C68" s="6" t="s">
        <v>1937</v>
      </c>
      <c r="D68" s="47" t="s">
        <v>162</v>
      </c>
      <c r="E68" s="12">
        <v>1</v>
      </c>
      <c r="F68" s="12"/>
      <c r="G68" s="12">
        <f t="shared" si="3"/>
        <v>0</v>
      </c>
    </row>
    <row r="69" spans="1:7">
      <c r="A69" s="77">
        <v>20</v>
      </c>
      <c r="B69" s="6" t="s">
        <v>72</v>
      </c>
      <c r="C69" s="6" t="s">
        <v>1938</v>
      </c>
      <c r="D69" s="47" t="s">
        <v>161</v>
      </c>
      <c r="E69" s="12">
        <v>1</v>
      </c>
      <c r="F69" s="12"/>
      <c r="G69" s="12">
        <f t="shared" si="3"/>
        <v>0</v>
      </c>
    </row>
    <row r="70" spans="1:7">
      <c r="A70" s="77">
        <v>21</v>
      </c>
      <c r="B70" s="6" t="s">
        <v>72</v>
      </c>
      <c r="C70" s="6" t="s">
        <v>1939</v>
      </c>
      <c r="D70" s="47" t="s">
        <v>161</v>
      </c>
      <c r="E70" s="12">
        <v>2</v>
      </c>
      <c r="F70" s="12"/>
      <c r="G70" s="12">
        <f t="shared" si="3"/>
        <v>0</v>
      </c>
    </row>
    <row r="71" spans="1:7">
      <c r="A71" s="77">
        <v>22</v>
      </c>
      <c r="B71" s="6" t="s">
        <v>72</v>
      </c>
      <c r="C71" s="6" t="s">
        <v>1940</v>
      </c>
      <c r="D71" s="47" t="s">
        <v>161</v>
      </c>
      <c r="E71" s="12">
        <v>3</v>
      </c>
      <c r="F71" s="12"/>
      <c r="G71" s="12">
        <f t="shared" si="3"/>
        <v>0</v>
      </c>
    </row>
    <row r="72" spans="1:7">
      <c r="A72" s="77">
        <v>23</v>
      </c>
      <c r="B72" s="6" t="s">
        <v>72</v>
      </c>
      <c r="C72" s="6" t="s">
        <v>1941</v>
      </c>
      <c r="D72" s="47" t="s">
        <v>93</v>
      </c>
      <c r="E72" s="12">
        <v>45</v>
      </c>
      <c r="F72" s="12"/>
      <c r="G72" s="12">
        <f t="shared" si="3"/>
        <v>0</v>
      </c>
    </row>
    <row r="73" spans="1:7">
      <c r="A73" s="77">
        <v>24</v>
      </c>
      <c r="B73" s="6" t="s">
        <v>72</v>
      </c>
      <c r="C73" s="6" t="s">
        <v>371</v>
      </c>
      <c r="D73" s="47" t="s">
        <v>162</v>
      </c>
      <c r="E73" s="12">
        <v>1</v>
      </c>
      <c r="F73" s="12"/>
      <c r="G73" s="12">
        <f t="shared" si="3"/>
        <v>0</v>
      </c>
    </row>
    <row r="74" spans="1:7" ht="25.5">
      <c r="A74" s="77">
        <v>25</v>
      </c>
      <c r="B74" s="6" t="s">
        <v>72</v>
      </c>
      <c r="C74" s="6" t="s">
        <v>1903</v>
      </c>
      <c r="D74" s="77" t="s">
        <v>162</v>
      </c>
      <c r="E74" s="12">
        <v>1</v>
      </c>
      <c r="F74" s="12"/>
      <c r="G74" s="12">
        <f t="shared" si="3"/>
        <v>0</v>
      </c>
    </row>
    <row r="75" spans="1:7" ht="25.5">
      <c r="A75" s="77">
        <v>26</v>
      </c>
      <c r="B75" s="6" t="s">
        <v>372</v>
      </c>
      <c r="C75" s="6" t="s">
        <v>373</v>
      </c>
      <c r="D75" s="47" t="s">
        <v>20</v>
      </c>
      <c r="E75" s="12">
        <v>1285</v>
      </c>
      <c r="F75" s="12"/>
      <c r="G75" s="12">
        <f t="shared" si="3"/>
        <v>0</v>
      </c>
    </row>
    <row r="76" spans="1:7" ht="25.5">
      <c r="A76" s="77">
        <v>27</v>
      </c>
      <c r="B76" s="6" t="s">
        <v>374</v>
      </c>
      <c r="C76" s="6" t="s">
        <v>375</v>
      </c>
      <c r="D76" s="47" t="s">
        <v>7</v>
      </c>
      <c r="E76" s="12">
        <f>1285*0.05</f>
        <v>64.25</v>
      </c>
      <c r="F76" s="12"/>
      <c r="G76" s="12">
        <f t="shared" si="3"/>
        <v>0</v>
      </c>
    </row>
    <row r="77" spans="1:7" ht="25.5">
      <c r="A77" s="77">
        <v>28</v>
      </c>
      <c r="B77" s="6" t="s">
        <v>376</v>
      </c>
      <c r="C77" s="6" t="s">
        <v>377</v>
      </c>
      <c r="D77" s="47" t="s">
        <v>7</v>
      </c>
      <c r="E77" s="12">
        <f>1285*0.05</f>
        <v>64.25</v>
      </c>
      <c r="F77" s="12"/>
      <c r="G77" s="12">
        <f t="shared" si="3"/>
        <v>0</v>
      </c>
    </row>
    <row r="78" spans="1:7" ht="25.5">
      <c r="A78" s="77">
        <v>29</v>
      </c>
      <c r="B78" s="6" t="s">
        <v>378</v>
      </c>
      <c r="C78" s="6" t="s">
        <v>379</v>
      </c>
      <c r="D78" s="47" t="s">
        <v>20</v>
      </c>
      <c r="E78" s="12">
        <v>1285</v>
      </c>
      <c r="F78" s="12"/>
      <c r="G78" s="12">
        <f t="shared" si="3"/>
        <v>0</v>
      </c>
    </row>
    <row r="79" spans="1:7" ht="15.75">
      <c r="A79" s="147"/>
      <c r="B79" s="147"/>
      <c r="C79" s="147"/>
      <c r="D79" s="143" t="s">
        <v>1900</v>
      </c>
      <c r="E79" s="143"/>
      <c r="F79" s="143"/>
      <c r="G79" s="88">
        <f>SUM(G49,G2)</f>
        <v>0</v>
      </c>
    </row>
    <row r="80" spans="1:7" ht="15.75">
      <c r="A80" s="147"/>
      <c r="B80" s="147"/>
      <c r="C80" s="147"/>
      <c r="D80" s="147" t="s">
        <v>1895</v>
      </c>
      <c r="E80" s="147"/>
      <c r="F80" s="147"/>
      <c r="G80" s="88">
        <f>G79*23%</f>
        <v>0</v>
      </c>
    </row>
    <row r="81" spans="1:7" ht="15.75">
      <c r="A81" s="147"/>
      <c r="B81" s="147"/>
      <c r="C81" s="147"/>
      <c r="D81" s="143" t="s">
        <v>1901</v>
      </c>
      <c r="E81" s="143"/>
      <c r="F81" s="143"/>
      <c r="G81" s="88">
        <f>G79+G80</f>
        <v>0</v>
      </c>
    </row>
    <row r="84" spans="1:7" ht="15">
      <c r="E84" s="24"/>
      <c r="F84" s="99" t="s">
        <v>1957</v>
      </c>
      <c r="G84" s="93"/>
    </row>
    <row r="85" spans="1:7">
      <c r="E85" s="137" t="s">
        <v>1958</v>
      </c>
      <c r="F85" s="137"/>
      <c r="G85" s="137"/>
    </row>
  </sheetData>
  <mergeCells count="10">
    <mergeCell ref="E85:G85"/>
    <mergeCell ref="A2:C2"/>
    <mergeCell ref="A79:C81"/>
    <mergeCell ref="D79:F79"/>
    <mergeCell ref="D80:F80"/>
    <mergeCell ref="D81:F81"/>
    <mergeCell ref="B49:C49"/>
    <mergeCell ref="B3:C3"/>
    <mergeCell ref="B17:C17"/>
    <mergeCell ref="B28:C28"/>
  </mergeCells>
  <printOptions horizontalCentered="1"/>
  <pageMargins left="0.19685039370078741" right="0.15748031496062992" top="0.74803149606299213" bottom="0.74803149606299213" header="0.31496062992125984" footer="0.31496062992125984"/>
  <pageSetup paperSize="9" scale="84" orientation="portrait" horizontalDpi="4294967293" r:id="rId1"/>
  <headerFooter>
    <oddHeader>&amp;LNr sprawy: BZPiFZ.271.4.2019&amp;CRozbiórki budynków nr 1,2,3 i 5 oraz zagospodarowanie działki 626</oddHeader>
    <oddFooter>&amp;L&amp;A&amp;R&amp;P/&amp;N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3</vt:i4>
      </vt:variant>
    </vt:vector>
  </HeadingPairs>
  <TitlesOfParts>
    <vt:vector size="7" baseType="lpstr">
      <vt:lpstr>Podsumowanie kosztow</vt:lpstr>
      <vt:lpstr>Termomodernizacja</vt:lpstr>
      <vt:lpstr>Przebudowa</vt:lpstr>
      <vt:lpstr>zagospodarowanie</vt:lpstr>
      <vt:lpstr>'Podsumowanie kosztow'!Obszar_wydruku</vt:lpstr>
      <vt:lpstr>Przebudowa!Obszar_wydruku</vt:lpstr>
      <vt:lpstr>Termomodernizacja!Obszar_wydruku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2019-02-11T06:20:51Z</cp:lastPrinted>
  <dcterms:created xsi:type="dcterms:W3CDTF">2018-12-18T18:49:35Z</dcterms:created>
  <dcterms:modified xsi:type="dcterms:W3CDTF">2019-02-11T06:20:58Z</dcterms:modified>
</cp:coreProperties>
</file>