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DBethke\Documents\INWESTYCJE\Budynek C przy ul. Kościuszki\Przetarg\Pytania\Odpowiedzi na pytania nr 2\"/>
    </mc:Choice>
  </mc:AlternateContent>
  <xr:revisionPtr revIDLastSave="0" documentId="8_{5092C021-8180-4983-8104-725450B326F2}" xr6:coauthVersionLast="45" xr6:coauthVersionMax="45" xr10:uidLastSave="{00000000-0000-0000-0000-000000000000}"/>
  <bookViews>
    <workbookView xWindow="-120" yWindow="-120" windowWidth="29040" windowHeight="15840" activeTab="1" xr2:uid="{00000000-000D-0000-FFFF-FFFF00000000}"/>
  </bookViews>
  <sheets>
    <sheet name="Podsumowanie koszt" sheetId="9" r:id="rId1"/>
    <sheet name="Termomodernizacja" sheetId="8" r:id="rId2"/>
    <sheet name="Remont budynku" sheetId="2" r:id="rId3"/>
  </sheets>
  <definedNames>
    <definedName name="_xlnm.Print_Area" localSheetId="0">'Podsumowanie koszt'!$A$1:$E$43</definedName>
    <definedName name="_xlnm.Print_Area" localSheetId="2">'Remont budynku'!$A$1:$G$564</definedName>
    <definedName name="_xlnm.Print_Area" localSheetId="1">Termomodernizacja!$A$1:$G$199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28" i="2" l="1"/>
  <c r="G432" i="2"/>
  <c r="G431" i="2"/>
  <c r="G114" i="8" l="1"/>
  <c r="G113" i="8"/>
  <c r="G111" i="8" s="1"/>
  <c r="G112" i="8"/>
  <c r="G437" i="2" l="1"/>
  <c r="G436" i="2"/>
  <c r="G435" i="2"/>
  <c r="G434" i="2"/>
  <c r="G433" i="2"/>
  <c r="G430" i="2"/>
  <c r="G429" i="2"/>
  <c r="G237" i="2" l="1"/>
  <c r="E99" i="8" l="1"/>
  <c r="G100" i="8"/>
  <c r="G73" i="8" l="1"/>
  <c r="E107" i="8" l="1"/>
  <c r="E94" i="2" l="1"/>
  <c r="E6" i="8" l="1"/>
  <c r="E186" i="2"/>
  <c r="E133" i="2"/>
  <c r="E104" i="2"/>
  <c r="E136" i="2" l="1"/>
  <c r="E82" i="2"/>
  <c r="E79" i="2"/>
  <c r="E30" i="2"/>
  <c r="G30" i="2" s="1"/>
  <c r="E28" i="2"/>
  <c r="E27" i="2"/>
  <c r="E23" i="2"/>
  <c r="E21" i="2"/>
  <c r="E5" i="2"/>
  <c r="E20" i="2"/>
  <c r="E19" i="2"/>
  <c r="E17" i="2"/>
  <c r="E7" i="8" l="1"/>
  <c r="G7" i="8" s="1"/>
  <c r="E5" i="8"/>
  <c r="E135" i="2"/>
  <c r="E81" i="2"/>
  <c r="G6" i="8" l="1"/>
  <c r="G5" i="8"/>
  <c r="G4" i="8" l="1"/>
  <c r="G82" i="8"/>
  <c r="E66" i="8"/>
  <c r="G66" i="8" s="1"/>
  <c r="E45" i="8"/>
  <c r="G45" i="8" s="1"/>
  <c r="G176" i="2" l="1"/>
  <c r="E54" i="8"/>
  <c r="G54" i="8" s="1"/>
  <c r="E33" i="8"/>
  <c r="G33" i="8" s="1"/>
  <c r="G69" i="8"/>
  <c r="E47" i="8"/>
  <c r="G47" i="8" s="1"/>
  <c r="E84" i="8"/>
  <c r="E85" i="8"/>
  <c r="E67" i="8" l="1"/>
  <c r="E61" i="8"/>
  <c r="G61" i="8" s="1"/>
  <c r="E58" i="8"/>
  <c r="G58" i="8" s="1"/>
  <c r="E56" i="8"/>
  <c r="G56" i="8" s="1"/>
  <c r="E52" i="8"/>
  <c r="G52" i="8" s="1"/>
  <c r="E91" i="8"/>
  <c r="G108" i="8"/>
  <c r="G107" i="8"/>
  <c r="E106" i="8"/>
  <c r="G106" i="8" s="1"/>
  <c r="E92" i="8"/>
  <c r="G92" i="8" s="1"/>
  <c r="E103" i="8"/>
  <c r="G103" i="8" s="1"/>
  <c r="E101" i="8"/>
  <c r="G101" i="8" s="1"/>
  <c r="E97" i="8"/>
  <c r="G97" i="8" s="1"/>
  <c r="E96" i="8"/>
  <c r="G96" i="8" s="1"/>
  <c r="G95" i="8"/>
  <c r="E94" i="8"/>
  <c r="G94" i="8" s="1"/>
  <c r="E90" i="8"/>
  <c r="G90" i="8" s="1"/>
  <c r="E89" i="8"/>
  <c r="G89" i="8" s="1"/>
  <c r="E86" i="8"/>
  <c r="G86" i="8" s="1"/>
  <c r="G85" i="8"/>
  <c r="G88" i="8"/>
  <c r="G87" i="8"/>
  <c r="G84" i="8"/>
  <c r="G191" i="8"/>
  <c r="G190" i="8" s="1"/>
  <c r="G174" i="8"/>
  <c r="G173" i="8"/>
  <c r="G189" i="8"/>
  <c r="G188" i="8"/>
  <c r="G187" i="8"/>
  <c r="G186" i="8"/>
  <c r="G185" i="8"/>
  <c r="G184" i="8"/>
  <c r="G183" i="8"/>
  <c r="G182" i="8"/>
  <c r="G181" i="8"/>
  <c r="G180" i="8"/>
  <c r="G179" i="8"/>
  <c r="G178" i="8"/>
  <c r="G177" i="8"/>
  <c r="G176" i="8"/>
  <c r="G170" i="8"/>
  <c r="E169" i="8"/>
  <c r="G169" i="8" s="1"/>
  <c r="G168" i="8"/>
  <c r="G167" i="8"/>
  <c r="G166" i="8"/>
  <c r="G165" i="8"/>
  <c r="G164" i="8"/>
  <c r="G163" i="8"/>
  <c r="G162" i="8"/>
  <c r="G161"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E133" i="8"/>
  <c r="G133" i="8" s="1"/>
  <c r="E132" i="8"/>
  <c r="G132" i="8" s="1"/>
  <c r="G131" i="8"/>
  <c r="G130" i="8"/>
  <c r="G129" i="8"/>
  <c r="G128" i="8"/>
  <c r="G127" i="8"/>
  <c r="G125" i="8"/>
  <c r="G124" i="8"/>
  <c r="E123" i="8"/>
  <c r="G123" i="8" s="1"/>
  <c r="G122" i="8"/>
  <c r="G121" i="8"/>
  <c r="G120" i="8"/>
  <c r="G119" i="8"/>
  <c r="G118" i="8"/>
  <c r="G110" i="8"/>
  <c r="G109" i="8"/>
  <c r="E105" i="8"/>
  <c r="G105" i="8" s="1"/>
  <c r="G104" i="8"/>
  <c r="E102" i="8"/>
  <c r="G102" i="8" s="1"/>
  <c r="G99" i="8"/>
  <c r="G98" i="8"/>
  <c r="G93" i="8"/>
  <c r="G91" i="8"/>
  <c r="G81" i="8"/>
  <c r="G80" i="8"/>
  <c r="G79" i="8"/>
  <c r="G78" i="8"/>
  <c r="G77" i="8"/>
  <c r="G76" i="8"/>
  <c r="G75" i="8"/>
  <c r="E72" i="8"/>
  <c r="G72" i="8" s="1"/>
  <c r="E71" i="8"/>
  <c r="G71" i="8" s="1"/>
  <c r="E70" i="8"/>
  <c r="G70" i="8" s="1"/>
  <c r="E68" i="8"/>
  <c r="G68" i="8" s="1"/>
  <c r="G67" i="8"/>
  <c r="G65" i="8"/>
  <c r="G64" i="8"/>
  <c r="G63" i="8"/>
  <c r="G62" i="8"/>
  <c r="G60" i="8"/>
  <c r="E59" i="8"/>
  <c r="G59" i="8" s="1"/>
  <c r="G57" i="8"/>
  <c r="G55" i="8"/>
  <c r="G53" i="8"/>
  <c r="E51" i="8"/>
  <c r="G51" i="8" s="1"/>
  <c r="G50" i="8"/>
  <c r="E48" i="8"/>
  <c r="G48" i="8" s="1"/>
  <c r="E46" i="8"/>
  <c r="G46" i="8" s="1"/>
  <c r="G44" i="8"/>
  <c r="G43" i="8"/>
  <c r="G42" i="8"/>
  <c r="E41" i="8"/>
  <c r="G41" i="8" s="1"/>
  <c r="E40" i="8"/>
  <c r="G40" i="8" s="1"/>
  <c r="G39" i="8"/>
  <c r="E38" i="8"/>
  <c r="G38" i="8" s="1"/>
  <c r="E37" i="8"/>
  <c r="G37" i="8" s="1"/>
  <c r="G36" i="8"/>
  <c r="E35" i="8"/>
  <c r="G35" i="8" s="1"/>
  <c r="G34" i="8"/>
  <c r="G32" i="8"/>
  <c r="E31" i="8"/>
  <c r="G31" i="8" s="1"/>
  <c r="E30" i="8"/>
  <c r="G30" i="8" s="1"/>
  <c r="G29" i="8"/>
  <c r="E27" i="8"/>
  <c r="G27" i="8" s="1"/>
  <c r="E26" i="8"/>
  <c r="G26" i="8" s="1"/>
  <c r="E25" i="8"/>
  <c r="G25" i="8" s="1"/>
  <c r="E24" i="8"/>
  <c r="G24" i="8" s="1"/>
  <c r="E23" i="8"/>
  <c r="G23" i="8" s="1"/>
  <c r="E21" i="8"/>
  <c r="G21" i="8" s="1"/>
  <c r="E20" i="8"/>
  <c r="G20" i="8" s="1"/>
  <c r="E19" i="8"/>
  <c r="G19" i="8" s="1"/>
  <c r="E18" i="8"/>
  <c r="G18" i="8" s="1"/>
  <c r="E17" i="8"/>
  <c r="G17" i="8" s="1"/>
  <c r="E16" i="8"/>
  <c r="G16" i="8" s="1"/>
  <c r="E15" i="8"/>
  <c r="G15" i="8" s="1"/>
  <c r="E14" i="8"/>
  <c r="G14" i="8" s="1"/>
  <c r="E13" i="8"/>
  <c r="G13" i="8" s="1"/>
  <c r="E12" i="8"/>
  <c r="G12" i="8" s="1"/>
  <c r="E11" i="8"/>
  <c r="G11" i="8" s="1"/>
  <c r="E10" i="8"/>
  <c r="G10" i="8" s="1"/>
  <c r="E9" i="8"/>
  <c r="G9" i="8" s="1"/>
  <c r="G49" i="8" l="1"/>
  <c r="G172" i="8"/>
  <c r="G175" i="8"/>
  <c r="G74" i="8"/>
  <c r="G117" i="8"/>
  <c r="G116" i="8" s="1"/>
  <c r="G115" i="8" s="1"/>
  <c r="G83" i="8"/>
  <c r="G160" i="8"/>
  <c r="G126" i="8"/>
  <c r="G22" i="8"/>
  <c r="G28" i="8"/>
  <c r="G8" i="8"/>
  <c r="G3" i="8" l="1"/>
  <c r="G192" i="8" s="1"/>
  <c r="G171" i="8"/>
  <c r="C8" i="9"/>
  <c r="D8" i="9" s="1"/>
  <c r="C6" i="9"/>
  <c r="G361" i="2"/>
  <c r="G362" i="2"/>
  <c r="G363" i="2"/>
  <c r="G364" i="2"/>
  <c r="G365" i="2"/>
  <c r="G366" i="2"/>
  <c r="G367" i="2"/>
  <c r="G377" i="2"/>
  <c r="G376" i="2"/>
  <c r="G375" i="2"/>
  <c r="G374" i="2"/>
  <c r="G373" i="2"/>
  <c r="G368" i="2"/>
  <c r="G372" i="2"/>
  <c r="G371" i="2"/>
  <c r="G370" i="2"/>
  <c r="G369" i="2"/>
  <c r="C7" i="9" l="1"/>
  <c r="D7" i="9" s="1"/>
  <c r="E7" i="9" s="1"/>
  <c r="C9" i="9"/>
  <c r="G360" i="2"/>
  <c r="D6" i="9"/>
  <c r="D9" i="9" s="1"/>
  <c r="E8" i="9"/>
  <c r="G193" i="8"/>
  <c r="G194" i="8" s="1"/>
  <c r="G555" i="2"/>
  <c r="G554" i="2"/>
  <c r="G553" i="2"/>
  <c r="G552" i="2"/>
  <c r="G551" i="2"/>
  <c r="G550" i="2"/>
  <c r="G549" i="2"/>
  <c r="G548" i="2"/>
  <c r="G547" i="2"/>
  <c r="G546" i="2"/>
  <c r="G544" i="2"/>
  <c r="G543" i="2"/>
  <c r="E542" i="2"/>
  <c r="G542" i="2" s="1"/>
  <c r="G541" i="2"/>
  <c r="G540" i="2"/>
  <c r="G539" i="2"/>
  <c r="G538" i="2"/>
  <c r="G537" i="2"/>
  <c r="G535" i="2"/>
  <c r="G534" i="2"/>
  <c r="E533" i="2"/>
  <c r="G533" i="2" s="1"/>
  <c r="G531" i="2"/>
  <c r="G530" i="2"/>
  <c r="G529" i="2"/>
  <c r="G528" i="2"/>
  <c r="G527" i="2"/>
  <c r="G526" i="2"/>
  <c r="G525" i="2"/>
  <c r="G524" i="2"/>
  <c r="G523" i="2"/>
  <c r="G522" i="2"/>
  <c r="G521" i="2"/>
  <c r="G520" i="2"/>
  <c r="G519" i="2"/>
  <c r="G518" i="2"/>
  <c r="G517" i="2"/>
  <c r="G516" i="2"/>
  <c r="G515" i="2"/>
  <c r="G513" i="2"/>
  <c r="G512" i="2"/>
  <c r="G511" i="2"/>
  <c r="G510" i="2"/>
  <c r="G509" i="2"/>
  <c r="G508" i="2"/>
  <c r="G507" i="2"/>
  <c r="G506" i="2"/>
  <c r="G505" i="2"/>
  <c r="G504" i="2"/>
  <c r="G503" i="2"/>
  <c r="G502" i="2"/>
  <c r="G501" i="2"/>
  <c r="G499" i="2"/>
  <c r="G498" i="2"/>
  <c r="G497" i="2"/>
  <c r="G496" i="2"/>
  <c r="E495" i="2"/>
  <c r="G495" i="2" s="1"/>
  <c r="G494" i="2"/>
  <c r="G493" i="2"/>
  <c r="G492" i="2"/>
  <c r="G491" i="2"/>
  <c r="G490" i="2"/>
  <c r="G489" i="2"/>
  <c r="G488" i="2"/>
  <c r="G487" i="2"/>
  <c r="G486" i="2"/>
  <c r="G485" i="2"/>
  <c r="G484" i="2"/>
  <c r="G483" i="2"/>
  <c r="G482" i="2"/>
  <c r="G481" i="2"/>
  <c r="G480" i="2"/>
  <c r="G479" i="2"/>
  <c r="G477" i="2"/>
  <c r="G476" i="2"/>
  <c r="G475" i="2"/>
  <c r="G474" i="2"/>
  <c r="G473" i="2"/>
  <c r="G472" i="2"/>
  <c r="G471" i="2"/>
  <c r="E470" i="2"/>
  <c r="G470" i="2" s="1"/>
  <c r="G469" i="2"/>
  <c r="G468" i="2"/>
  <c r="G467" i="2"/>
  <c r="G465" i="2"/>
  <c r="E464" i="2"/>
  <c r="G464" i="2" s="1"/>
  <c r="G463" i="2"/>
  <c r="G462" i="2"/>
  <c r="E461" i="2"/>
  <c r="G461" i="2" s="1"/>
  <c r="G460" i="2"/>
  <c r="G459" i="2"/>
  <c r="G458" i="2"/>
  <c r="E457" i="2"/>
  <c r="G457" i="2" s="1"/>
  <c r="E456" i="2"/>
  <c r="G456" i="2" s="1"/>
  <c r="G455" i="2"/>
  <c r="G454" i="2"/>
  <c r="G453" i="2"/>
  <c r="G452" i="2"/>
  <c r="G451" i="2"/>
  <c r="G449" i="2"/>
  <c r="G448" i="2"/>
  <c r="G447" i="2"/>
  <c r="G446" i="2"/>
  <c r="G445" i="2"/>
  <c r="G444" i="2"/>
  <c r="E443" i="2"/>
  <c r="G443" i="2" s="1"/>
  <c r="G442" i="2"/>
  <c r="G441" i="2"/>
  <c r="G440" i="2"/>
  <c r="G439" i="2"/>
  <c r="G438" i="2"/>
  <c r="G427" i="2"/>
  <c r="G426" i="2"/>
  <c r="G425" i="2"/>
  <c r="G424" i="2"/>
  <c r="G423" i="2"/>
  <c r="G421" i="2"/>
  <c r="G420" i="2"/>
  <c r="G419" i="2"/>
  <c r="G418" i="2"/>
  <c r="G416" i="2"/>
  <c r="G415" i="2"/>
  <c r="E414" i="2"/>
  <c r="G414" i="2" s="1"/>
  <c r="G413" i="2"/>
  <c r="G412" i="2"/>
  <c r="G410" i="2"/>
  <c r="G409" i="2" s="1"/>
  <c r="G407" i="2"/>
  <c r="G406" i="2"/>
  <c r="G405" i="2"/>
  <c r="G404" i="2"/>
  <c r="G403" i="2"/>
  <c r="G402" i="2"/>
  <c r="G401" i="2"/>
  <c r="G400" i="2"/>
  <c r="G399" i="2"/>
  <c r="G397" i="2"/>
  <c r="G396" i="2"/>
  <c r="G395" i="2"/>
  <c r="G394" i="2"/>
  <c r="G393" i="2"/>
  <c r="G392" i="2"/>
  <c r="G391" i="2"/>
  <c r="G390" i="2"/>
  <c r="G388" i="2"/>
  <c r="G387" i="2"/>
  <c r="G386" i="2"/>
  <c r="G385" i="2"/>
  <c r="G384" i="2"/>
  <c r="G383" i="2"/>
  <c r="G382" i="2"/>
  <c r="G381" i="2"/>
  <c r="G380" i="2"/>
  <c r="G379" i="2"/>
  <c r="E358" i="2"/>
  <c r="G358" i="2" s="1"/>
  <c r="E357" i="2"/>
  <c r="G357" i="2" s="1"/>
  <c r="G356" i="2"/>
  <c r="G355" i="2"/>
  <c r="G354" i="2"/>
  <c r="G353" i="2"/>
  <c r="G352" i="2"/>
  <c r="E351" i="2"/>
  <c r="G351" i="2" s="1"/>
  <c r="G350" i="2"/>
  <c r="E349" i="2"/>
  <c r="G349" i="2" s="1"/>
  <c r="G348" i="2"/>
  <c r="G347" i="2"/>
  <c r="E346" i="2"/>
  <c r="G346" i="2" s="1"/>
  <c r="G345" i="2"/>
  <c r="G344" i="2"/>
  <c r="G343" i="2"/>
  <c r="G342" i="2"/>
  <c r="E341" i="2"/>
  <c r="G341" i="2" s="1"/>
  <c r="E340" i="2"/>
  <c r="G340" i="2" s="1"/>
  <c r="E339" i="2"/>
  <c r="G339" i="2" s="1"/>
  <c r="E338" i="2"/>
  <c r="G338" i="2" s="1"/>
  <c r="E337" i="2"/>
  <c r="G337" i="2" s="1"/>
  <c r="G335" i="2"/>
  <c r="G334" i="2"/>
  <c r="G333" i="2"/>
  <c r="G332" i="2"/>
  <c r="E331" i="2"/>
  <c r="G331" i="2" s="1"/>
  <c r="G330" i="2"/>
  <c r="G329" i="2"/>
  <c r="G328" i="2"/>
  <c r="G327" i="2"/>
  <c r="G326" i="2"/>
  <c r="G325" i="2"/>
  <c r="G324" i="2"/>
  <c r="E323" i="2"/>
  <c r="G323" i="2" s="1"/>
  <c r="G322" i="2"/>
  <c r="G321" i="2"/>
  <c r="G320" i="2"/>
  <c r="G319" i="2"/>
  <c r="G318" i="2"/>
  <c r="G317" i="2"/>
  <c r="G316" i="2"/>
  <c r="G315" i="2"/>
  <c r="G314" i="2"/>
  <c r="G313" i="2"/>
  <c r="G312" i="2"/>
  <c r="E311" i="2"/>
  <c r="G311" i="2" s="1"/>
  <c r="G310" i="2"/>
  <c r="G309" i="2"/>
  <c r="G308" i="2"/>
  <c r="G307" i="2"/>
  <c r="G306" i="2"/>
  <c r="G305" i="2"/>
  <c r="G304" i="2"/>
  <c r="G303" i="2"/>
  <c r="G302" i="2"/>
  <c r="G301" i="2"/>
  <c r="G300" i="2"/>
  <c r="G299" i="2"/>
  <c r="G298" i="2"/>
  <c r="G297" i="2"/>
  <c r="G296" i="2"/>
  <c r="G295" i="2"/>
  <c r="G294" i="2"/>
  <c r="G293" i="2"/>
  <c r="G292" i="2"/>
  <c r="G291" i="2"/>
  <c r="E290" i="2"/>
  <c r="G290" i="2" s="1"/>
  <c r="G289" i="2"/>
  <c r="E288" i="2"/>
  <c r="G288" i="2" s="1"/>
  <c r="G287" i="2"/>
  <c r="G286" i="2"/>
  <c r="G285" i="2"/>
  <c r="G284" i="2"/>
  <c r="G283" i="2"/>
  <c r="G282" i="2"/>
  <c r="G281" i="2"/>
  <c r="G280" i="2"/>
  <c r="G279" i="2"/>
  <c r="G277" i="2"/>
  <c r="G276" i="2"/>
  <c r="G275" i="2"/>
  <c r="G274" i="2"/>
  <c r="G273" i="2"/>
  <c r="G272" i="2"/>
  <c r="E271" i="2"/>
  <c r="G271" i="2" s="1"/>
  <c r="G270" i="2"/>
  <c r="E269" i="2"/>
  <c r="G269" i="2" s="1"/>
  <c r="E268" i="2"/>
  <c r="G268" i="2" s="1"/>
  <c r="E267" i="2"/>
  <c r="G267" i="2" s="1"/>
  <c r="E266" i="2"/>
  <c r="G266" i="2" s="1"/>
  <c r="E263" i="2"/>
  <c r="G263" i="2" s="1"/>
  <c r="E262" i="2"/>
  <c r="G262" i="2" s="1"/>
  <c r="E261" i="2"/>
  <c r="G261" i="2" s="1"/>
  <c r="E260" i="2"/>
  <c r="G260" i="2" s="1"/>
  <c r="G259" i="2"/>
  <c r="E258" i="2"/>
  <c r="G258" i="2" s="1"/>
  <c r="G257" i="2"/>
  <c r="E256" i="2"/>
  <c r="G256" i="2" s="1"/>
  <c r="G254" i="2"/>
  <c r="G253" i="2"/>
  <c r="G252" i="2"/>
  <c r="G251" i="2"/>
  <c r="G250" i="2"/>
  <c r="E249" i="2"/>
  <c r="G249" i="2" s="1"/>
  <c r="E248" i="2"/>
  <c r="G248" i="2" s="1"/>
  <c r="E247" i="2"/>
  <c r="G247" i="2" s="1"/>
  <c r="E246" i="2"/>
  <c r="G246" i="2" s="1"/>
  <c r="G245" i="2"/>
  <c r="G244" i="2"/>
  <c r="G243" i="2"/>
  <c r="G242" i="2"/>
  <c r="G238" i="2"/>
  <c r="G236" i="2"/>
  <c r="G235" i="2"/>
  <c r="G234" i="2"/>
  <c r="G233" i="2"/>
  <c r="G232" i="2"/>
  <c r="E231" i="2"/>
  <c r="G231" i="2" s="1"/>
  <c r="G230" i="2"/>
  <c r="G229" i="2"/>
  <c r="E228" i="2"/>
  <c r="G228" i="2" s="1"/>
  <c r="G227" i="2"/>
  <c r="G226" i="2"/>
  <c r="G224" i="2"/>
  <c r="G223" i="2"/>
  <c r="G222" i="2"/>
  <c r="G221" i="2"/>
  <c r="G220" i="2"/>
  <c r="E219" i="2"/>
  <c r="G219" i="2" s="1"/>
  <c r="G218" i="2"/>
  <c r="E216" i="2"/>
  <c r="G216" i="2" s="1"/>
  <c r="E215" i="2"/>
  <c r="G215" i="2" s="1"/>
  <c r="E214" i="2"/>
  <c r="G214" i="2" s="1"/>
  <c r="G213" i="2"/>
  <c r="G212" i="2"/>
  <c r="G211" i="2"/>
  <c r="G210" i="2"/>
  <c r="G209" i="2"/>
  <c r="E207" i="2"/>
  <c r="G207" i="2" s="1"/>
  <c r="E206" i="2"/>
  <c r="G206" i="2" s="1"/>
  <c r="E205" i="2"/>
  <c r="G205" i="2" s="1"/>
  <c r="E204" i="2"/>
  <c r="G204" i="2" s="1"/>
  <c r="E203" i="2"/>
  <c r="G203" i="2" s="1"/>
  <c r="E202" i="2"/>
  <c r="G202" i="2" s="1"/>
  <c r="E201" i="2"/>
  <c r="G201" i="2" s="1"/>
  <c r="E200" i="2"/>
  <c r="G200" i="2" s="1"/>
  <c r="E198" i="2"/>
  <c r="G198" i="2" s="1"/>
  <c r="E197" i="2"/>
  <c r="G197" i="2" s="1"/>
  <c r="G196" i="2"/>
  <c r="G195" i="2"/>
  <c r="E194" i="2"/>
  <c r="G194" i="2" s="1"/>
  <c r="G193" i="2"/>
  <c r="G192" i="2"/>
  <c r="G191" i="2"/>
  <c r="E190" i="2"/>
  <c r="G190" i="2" s="1"/>
  <c r="E189" i="2"/>
  <c r="G189" i="2" s="1"/>
  <c r="G188" i="2"/>
  <c r="G187" i="2"/>
  <c r="G186" i="2"/>
  <c r="G185" i="2"/>
  <c r="E184" i="2"/>
  <c r="G184" i="2" s="1"/>
  <c r="E183" i="2"/>
  <c r="G183" i="2" s="1"/>
  <c r="E182" i="2"/>
  <c r="G182" i="2" s="1"/>
  <c r="E181" i="2"/>
  <c r="G181" i="2" s="1"/>
  <c r="E180" i="2"/>
  <c r="G180" i="2" s="1"/>
  <c r="E179" i="2"/>
  <c r="G179" i="2" s="1"/>
  <c r="E175" i="2"/>
  <c r="G175" i="2" s="1"/>
  <c r="E174" i="2"/>
  <c r="G174" i="2" s="1"/>
  <c r="E173" i="2"/>
  <c r="G173" i="2" s="1"/>
  <c r="E172" i="2"/>
  <c r="G172" i="2" s="1"/>
  <c r="E171" i="2"/>
  <c r="G171" i="2" s="1"/>
  <c r="E170" i="2"/>
  <c r="G170" i="2" s="1"/>
  <c r="E169" i="2"/>
  <c r="G169" i="2" s="1"/>
  <c r="E168" i="2"/>
  <c r="G168" i="2" s="1"/>
  <c r="E166" i="2"/>
  <c r="G166" i="2" s="1"/>
  <c r="G165" i="2"/>
  <c r="E164" i="2"/>
  <c r="G164" i="2" s="1"/>
  <c r="E163" i="2"/>
  <c r="G163" i="2" s="1"/>
  <c r="G162" i="2"/>
  <c r="G161" i="2"/>
  <c r="E160" i="2"/>
  <c r="G160" i="2" s="1"/>
  <c r="E159" i="2"/>
  <c r="G159" i="2" s="1"/>
  <c r="G158" i="2"/>
  <c r="E157" i="2"/>
  <c r="G157" i="2" s="1"/>
  <c r="E156" i="2"/>
  <c r="G156" i="2" s="1"/>
  <c r="E154" i="2"/>
  <c r="G154" i="2" s="1"/>
  <c r="E153" i="2"/>
  <c r="G153" i="2" s="1"/>
  <c r="E152" i="2"/>
  <c r="G152" i="2" s="1"/>
  <c r="E151" i="2"/>
  <c r="G151" i="2" s="1"/>
  <c r="G150" i="2"/>
  <c r="E149" i="2"/>
  <c r="G149" i="2" s="1"/>
  <c r="E148" i="2"/>
  <c r="G148" i="2" s="1"/>
  <c r="E147" i="2"/>
  <c r="G147" i="2" s="1"/>
  <c r="E146" i="2"/>
  <c r="G146" i="2" s="1"/>
  <c r="E145" i="2"/>
  <c r="G145" i="2" s="1"/>
  <c r="E144" i="2"/>
  <c r="G144" i="2" s="1"/>
  <c r="G143" i="2"/>
  <c r="E142" i="2"/>
  <c r="G142" i="2" s="1"/>
  <c r="G141" i="2"/>
  <c r="E140" i="2"/>
  <c r="G140" i="2" s="1"/>
  <c r="E139" i="2"/>
  <c r="G139" i="2" s="1"/>
  <c r="E138" i="2"/>
  <c r="G138" i="2" s="1"/>
  <c r="E137" i="2"/>
  <c r="G137" i="2" s="1"/>
  <c r="G136" i="2"/>
  <c r="G135" i="2"/>
  <c r="G133" i="2"/>
  <c r="E132" i="2"/>
  <c r="G132" i="2" s="1"/>
  <c r="E131" i="2"/>
  <c r="G131" i="2" s="1"/>
  <c r="E130" i="2"/>
  <c r="G130" i="2" s="1"/>
  <c r="E129" i="2"/>
  <c r="G129" i="2" s="1"/>
  <c r="E128" i="2"/>
  <c r="G128" i="2" s="1"/>
  <c r="E127" i="2"/>
  <c r="G127" i="2" s="1"/>
  <c r="G126" i="2"/>
  <c r="E125" i="2"/>
  <c r="G125" i="2" s="1"/>
  <c r="E124" i="2"/>
  <c r="G124" i="2" s="1"/>
  <c r="G123" i="2"/>
  <c r="E120" i="2"/>
  <c r="G120" i="2" s="1"/>
  <c r="G119" i="2"/>
  <c r="G118" i="2"/>
  <c r="E117" i="2"/>
  <c r="G117" i="2" s="1"/>
  <c r="G116" i="2"/>
  <c r="G115" i="2"/>
  <c r="G114" i="2"/>
  <c r="E113" i="2"/>
  <c r="G113" i="2" s="1"/>
  <c r="E112" i="2"/>
  <c r="G112" i="2" s="1"/>
  <c r="E111" i="2"/>
  <c r="G111" i="2" s="1"/>
  <c r="G110" i="2"/>
  <c r="E109" i="2"/>
  <c r="G109" i="2" s="1"/>
  <c r="G108" i="2"/>
  <c r="G107" i="2"/>
  <c r="G106" i="2"/>
  <c r="G105" i="2"/>
  <c r="G104" i="2"/>
  <c r="E102" i="2"/>
  <c r="G102" i="2" s="1"/>
  <c r="G101" i="2"/>
  <c r="G100" i="2"/>
  <c r="E99" i="2"/>
  <c r="G99" i="2" s="1"/>
  <c r="G98" i="2"/>
  <c r="E97" i="2"/>
  <c r="G97" i="2" s="1"/>
  <c r="G96" i="2"/>
  <c r="E95" i="2"/>
  <c r="G95" i="2" s="1"/>
  <c r="G94" i="2"/>
  <c r="E93" i="2"/>
  <c r="G93" i="2" s="1"/>
  <c r="E92" i="2"/>
  <c r="G92" i="2" s="1"/>
  <c r="E91" i="2"/>
  <c r="G91" i="2" s="1"/>
  <c r="E90" i="2"/>
  <c r="G90" i="2" s="1"/>
  <c r="G89" i="2"/>
  <c r="E88" i="2"/>
  <c r="G88" i="2" s="1"/>
  <c r="G87" i="2"/>
  <c r="E86" i="2"/>
  <c r="G86" i="2" s="1"/>
  <c r="E85" i="2"/>
  <c r="G85" i="2" s="1"/>
  <c r="E84" i="2"/>
  <c r="G84" i="2" s="1"/>
  <c r="E83" i="2"/>
  <c r="G83" i="2" s="1"/>
  <c r="G82" i="2"/>
  <c r="G81" i="2"/>
  <c r="G79" i="2"/>
  <c r="E78" i="2"/>
  <c r="G78" i="2" s="1"/>
  <c r="E77" i="2"/>
  <c r="G77" i="2" s="1"/>
  <c r="E76" i="2"/>
  <c r="G76" i="2" s="1"/>
  <c r="E75" i="2"/>
  <c r="G75" i="2" s="1"/>
  <c r="E74" i="2"/>
  <c r="G74" i="2" s="1"/>
  <c r="E73" i="2"/>
  <c r="G73" i="2" s="1"/>
  <c r="E72" i="2"/>
  <c r="G72" i="2" s="1"/>
  <c r="E71" i="2"/>
  <c r="G71" i="2" s="1"/>
  <c r="E70" i="2"/>
  <c r="G70" i="2" s="1"/>
  <c r="E69" i="2"/>
  <c r="G69" i="2" s="1"/>
  <c r="G68" i="2"/>
  <c r="E65" i="2"/>
  <c r="G65" i="2" s="1"/>
  <c r="G64" i="2"/>
  <c r="G63" i="2"/>
  <c r="E62" i="2"/>
  <c r="G62" i="2" s="1"/>
  <c r="E61" i="2"/>
  <c r="G61" i="2" s="1"/>
  <c r="E60" i="2"/>
  <c r="G60" i="2" s="1"/>
  <c r="E59" i="2"/>
  <c r="G59" i="2" s="1"/>
  <c r="E57" i="2"/>
  <c r="G57" i="2" s="1"/>
  <c r="G56" i="2"/>
  <c r="G55" i="2"/>
  <c r="G54" i="2"/>
  <c r="E53" i="2"/>
  <c r="G53" i="2" s="1"/>
  <c r="G52" i="2"/>
  <c r="G51" i="2"/>
  <c r="E48" i="2"/>
  <c r="E49" i="2" s="1"/>
  <c r="G49" i="2" s="1"/>
  <c r="E47" i="2"/>
  <c r="G47" i="2" s="1"/>
  <c r="E46" i="2"/>
  <c r="G46" i="2" s="1"/>
  <c r="G44" i="2"/>
  <c r="G43" i="2"/>
  <c r="E42" i="2"/>
  <c r="G42" i="2" s="1"/>
  <c r="E41" i="2"/>
  <c r="G41" i="2" s="1"/>
  <c r="G40" i="2"/>
  <c r="E39" i="2"/>
  <c r="G39" i="2" s="1"/>
  <c r="E38" i="2"/>
  <c r="G38" i="2" s="1"/>
  <c r="E37" i="2"/>
  <c r="G37" i="2" s="1"/>
  <c r="E36" i="2"/>
  <c r="G36" i="2" s="1"/>
  <c r="G35" i="2"/>
  <c r="G34" i="2"/>
  <c r="E31" i="2"/>
  <c r="G31" i="2" s="1"/>
  <c r="E29" i="2"/>
  <c r="G29" i="2" s="1"/>
  <c r="E24" i="2"/>
  <c r="G24" i="2" s="1"/>
  <c r="E26" i="2"/>
  <c r="G26" i="2" s="1"/>
  <c r="G22" i="2"/>
  <c r="E25" i="2"/>
  <c r="G25" i="2" s="1"/>
  <c r="G28" i="2"/>
  <c r="G27" i="2"/>
  <c r="G23" i="2"/>
  <c r="G21" i="2"/>
  <c r="G20" i="2"/>
  <c r="G19" i="2"/>
  <c r="E18" i="2"/>
  <c r="G18" i="2" s="1"/>
  <c r="G17" i="2"/>
  <c r="E16" i="2"/>
  <c r="G16" i="2" s="1"/>
  <c r="E15" i="2"/>
  <c r="G15" i="2" s="1"/>
  <c r="E14" i="2"/>
  <c r="G14" i="2" s="1"/>
  <c r="E13" i="2"/>
  <c r="G13" i="2" s="1"/>
  <c r="E12" i="2"/>
  <c r="G12" i="2" s="1"/>
  <c r="E11" i="2"/>
  <c r="G11" i="2" s="1"/>
  <c r="E10" i="2"/>
  <c r="G10" i="2" s="1"/>
  <c r="E9" i="2"/>
  <c r="G9" i="2" s="1"/>
  <c r="E8" i="2"/>
  <c r="G8" i="2" s="1"/>
  <c r="E7" i="2"/>
  <c r="G7" i="2" s="1"/>
  <c r="E6" i="2"/>
  <c r="G6" i="2" s="1"/>
  <c r="G5" i="2"/>
  <c r="E6" i="9" l="1"/>
  <c r="G4" i="2"/>
  <c r="G167" i="2"/>
  <c r="G225" i="2"/>
  <c r="C13" i="9" s="1"/>
  <c r="D13" i="9" s="1"/>
  <c r="E13" i="9" s="1"/>
  <c r="E9" i="9"/>
  <c r="G466" i="2"/>
  <c r="G378" i="2"/>
  <c r="G241" i="2"/>
  <c r="G411" i="2"/>
  <c r="G500" i="2"/>
  <c r="G33" i="2"/>
  <c r="G217" i="2"/>
  <c r="G255" i="2"/>
  <c r="G155" i="2"/>
  <c r="G389" i="2"/>
  <c r="G398" i="2"/>
  <c r="G80" i="2"/>
  <c r="G58" i="2"/>
  <c r="G199" i="2"/>
  <c r="G103" i="2"/>
  <c r="G134" i="2"/>
  <c r="G208" i="2"/>
  <c r="G278" i="2"/>
  <c r="G532" i="2"/>
  <c r="G422" i="2"/>
  <c r="G478" i="2"/>
  <c r="G122" i="2"/>
  <c r="G336" i="2"/>
  <c r="G265" i="2"/>
  <c r="G417" i="2"/>
  <c r="G514" i="2"/>
  <c r="G67" i="2"/>
  <c r="E50" i="2"/>
  <c r="G50" i="2" s="1"/>
  <c r="G178" i="2"/>
  <c r="G536" i="2"/>
  <c r="G48" i="2"/>
  <c r="G545" i="2"/>
  <c r="G450" i="2"/>
  <c r="G264" i="2" l="1"/>
  <c r="G66" i="2"/>
  <c r="G408" i="2"/>
  <c r="G359" i="2" s="1"/>
  <c r="G121" i="2"/>
  <c r="G240" i="2"/>
  <c r="G45" i="2"/>
  <c r="G32" i="2" s="1"/>
  <c r="G3" i="2" l="1"/>
  <c r="C12" i="9" s="1"/>
  <c r="G239" i="2"/>
  <c r="C14" i="9" s="1"/>
  <c r="C15" i="9" l="1"/>
  <c r="D15" i="9" s="1"/>
  <c r="E15" i="9" s="1"/>
  <c r="G556" i="2"/>
  <c r="G557" i="2" s="1"/>
  <c r="G558" i="2" s="1"/>
  <c r="D12" i="9"/>
  <c r="E12" i="9" s="1"/>
  <c r="D14" i="9"/>
  <c r="E14" i="9" s="1"/>
  <c r="C16" i="9" l="1"/>
  <c r="C18" i="9" s="1"/>
  <c r="E16" i="9"/>
  <c r="E18" i="9" s="1"/>
  <c r="D16" i="9"/>
  <c r="D18" i="9" s="1"/>
</calcChain>
</file>

<file path=xl/sharedStrings.xml><?xml version="1.0" encoding="utf-8"?>
<sst xmlns="http://schemas.openxmlformats.org/spreadsheetml/2006/main" count="2909" uniqueCount="1537">
  <si>
    <t>Lp.</t>
  </si>
  <si>
    <t>Podstawa</t>
  </si>
  <si>
    <t>Opis</t>
  </si>
  <si>
    <t>jedn. obm.</t>
  </si>
  <si>
    <t>Obmiar</t>
  </si>
  <si>
    <t>Cena jednostkowa</t>
  </si>
  <si>
    <t>Wartość</t>
  </si>
  <si>
    <t>ROBOTY BUDOWLANE</t>
  </si>
  <si>
    <t>KONSTRUKCJA</t>
  </si>
  <si>
    <t>1.1</t>
  </si>
  <si>
    <t>KNR 2-02 1101-01</t>
  </si>
  <si>
    <t>m3</t>
  </si>
  <si>
    <t>1.2</t>
  </si>
  <si>
    <t>1.3</t>
  </si>
  <si>
    <t>KNR 2-02 0202-01</t>
  </si>
  <si>
    <t>Ławy fundamentowe prostokątne żelbetowe, szerokości do 0,6 m - z zastosowaniem pompy do betonu - ŁF-1</t>
  </si>
  <si>
    <t>1.4</t>
  </si>
  <si>
    <t>KNR 2-02 0204-03</t>
  </si>
  <si>
    <t>Płyty fundamentowe prostokątne żelbetowe, o objętości do 2,5 m3 - z zastosowaniem pompy do betonu - PF1</t>
  </si>
  <si>
    <t>1.5</t>
  </si>
  <si>
    <t>KNR 2-02 0202-01 analogia</t>
  </si>
  <si>
    <t>Podbicia fundamentów wg opisu technicznego</t>
  </si>
  <si>
    <t>1.6</t>
  </si>
  <si>
    <t>KNR 2-02 0290-01</t>
  </si>
  <si>
    <t>t</t>
  </si>
  <si>
    <t>1.7</t>
  </si>
  <si>
    <t>KNR 2-02 0290-02</t>
  </si>
  <si>
    <t>Przygotowanie i montaż zbrojenia elementów budynków i budowli - pręty żebrowane - # 12</t>
  </si>
  <si>
    <t>1.8</t>
  </si>
  <si>
    <t>KNR 2-02 0216-02</t>
  </si>
  <si>
    <t>Żelbetowe płyty stropowe, grubości 15 cm płaskie - z zastosowaniem pompy do betonu - płyta PłŻ-1</t>
  </si>
  <si>
    <t>m2</t>
  </si>
  <si>
    <t>1.9</t>
  </si>
  <si>
    <t>Przygotowanie i montaż zbrojenia elementów budynków i budowli - pręty żebrowane - # 10</t>
  </si>
  <si>
    <t>1.10</t>
  </si>
  <si>
    <t>KNR-W 2-02 0101-05</t>
  </si>
  <si>
    <t>Fundamenty z bloczków betonowych na zaprawie cementowo-wapiennej</t>
  </si>
  <si>
    <t>1.11</t>
  </si>
  <si>
    <t>Ściany windy</t>
  </si>
  <si>
    <t>1.12</t>
  </si>
  <si>
    <t>1.13</t>
  </si>
  <si>
    <t>1.14</t>
  </si>
  <si>
    <t>KNR 2-02 0210-01</t>
  </si>
  <si>
    <t>Belki i podciągi, żelbetowe; stosunek deskowanego obwodu do przekroju do 8 - z zastosowaniem pompy do betonu - wieniec WŻ-1</t>
  </si>
  <si>
    <t>1.15</t>
  </si>
  <si>
    <t>KNR 2-02 0216-01</t>
  </si>
  <si>
    <t>1.16</t>
  </si>
  <si>
    <t>1.17</t>
  </si>
  <si>
    <t>1.18</t>
  </si>
  <si>
    <t>1.19</t>
  </si>
  <si>
    <t>1.20</t>
  </si>
  <si>
    <t>KNR-W 2-02 0132-05</t>
  </si>
  <si>
    <t>m</t>
  </si>
  <si>
    <t>1.21</t>
  </si>
  <si>
    <t>1.22</t>
  </si>
  <si>
    <t>KNR 4-01 0212-03</t>
  </si>
  <si>
    <t>Rozbiórka elementów konstrukcji betonowych zbrojonych</t>
  </si>
  <si>
    <t>1.23</t>
  </si>
  <si>
    <t>1.24</t>
  </si>
  <si>
    <t xml:space="preserve"> kalk. własna</t>
  </si>
  <si>
    <t>1.25</t>
  </si>
  <si>
    <t>1.26</t>
  </si>
  <si>
    <t>1.27</t>
  </si>
  <si>
    <t>KNR-W 2-02 0801-04</t>
  </si>
  <si>
    <t>Tynki wewnętrzne zwykłe kat. III wykonywane mechanicznie na stropach i podciągach</t>
  </si>
  <si>
    <t>KNR 2-05 0208-05</t>
  </si>
  <si>
    <t>KNR 4-01 0346-03</t>
  </si>
  <si>
    <t>Wykucie gniazd o głębokości 1 ceg. w ścianach z cegieł na zaprawie cementowo-wapiennej dla belek stalowych</t>
  </si>
  <si>
    <t>gniazd.</t>
  </si>
  <si>
    <t>Betonowanie gniazd</t>
  </si>
  <si>
    <t>KNR 2-02 1102-02 analogia</t>
  </si>
  <si>
    <t>Warstwy wyrównawcze z zaprawy niskokurczliwej</t>
  </si>
  <si>
    <t>KNR 2-02 0208-01 analogia</t>
  </si>
  <si>
    <t>Betonowanie przewodów kominowych</t>
  </si>
  <si>
    <t>KNR-W 2-02 2004-07</t>
  </si>
  <si>
    <t>KNR 2-02 1505-03</t>
  </si>
  <si>
    <t>Dwukrotne malowanie farbami emulsyjnymi powierzchni wewnętrznych - podłoży gipsowych z gruntowaniem</t>
  </si>
  <si>
    <t>2</t>
  </si>
  <si>
    <t>PIWNICA</t>
  </si>
  <si>
    <t>2.1</t>
  </si>
  <si>
    <t>Roboty rozbiórkowe</t>
  </si>
  <si>
    <t>2.1.1</t>
  </si>
  <si>
    <t>KNR 4-01 0354-04 analogia</t>
  </si>
  <si>
    <t>Wykucie z muru ościeżnic - drzwi</t>
  </si>
  <si>
    <t>szt.</t>
  </si>
  <si>
    <t>2.1.2</t>
  </si>
  <si>
    <t>KNR 4-01 0349-02</t>
  </si>
  <si>
    <t>Rozebranie ścian z cegieł na zaprawie cementowo-wapiennej</t>
  </si>
  <si>
    <t>2.1.3</t>
  </si>
  <si>
    <t>KNR 4-01 0211-03 analogia</t>
  </si>
  <si>
    <t>Skucie posadzki</t>
  </si>
  <si>
    <t>2.1.4</t>
  </si>
  <si>
    <t>KNR 4-01 0701-04</t>
  </si>
  <si>
    <t>Odbicie tynków wewnętrznych z zaprawy wapiennej na ścianach, filarach, pilastrach o powierzchni odbicia ponad 5 m2</t>
  </si>
  <si>
    <t>2.1.5</t>
  </si>
  <si>
    <t>KNR 4-01 0701-10</t>
  </si>
  <si>
    <t>Odbicie tynków wewnętrznych z zaprawy wapiennej na stropach płaskich, belkach, biegach i spocznikach schodów ponad 5 m2</t>
  </si>
  <si>
    <t>2.1.6</t>
  </si>
  <si>
    <t>KNR 4-01 0354-12 analogia</t>
  </si>
  <si>
    <t>Wykucie z muru podokienników</t>
  </si>
  <si>
    <t>2.1.7</t>
  </si>
  <si>
    <t>KNR 4-01 0106-05</t>
  </si>
  <si>
    <t>2.1.8</t>
  </si>
  <si>
    <t>2.1.9</t>
  </si>
  <si>
    <t>2.2</t>
  </si>
  <si>
    <t>Roboty wykończeniowe - ściany, strop</t>
  </si>
  <si>
    <t>2.2.1</t>
  </si>
  <si>
    <t>KNR 0-27 0162-02</t>
  </si>
  <si>
    <t>Ścianki działowe budynków jednokondygnacyjnych o wys. do 4,5 m i gr. 11,5 cm z pustaków ceramicznych</t>
  </si>
  <si>
    <t>2.2.2</t>
  </si>
  <si>
    <t>2.2.3</t>
  </si>
  <si>
    <t>2.2.4</t>
  </si>
  <si>
    <t>2.2.5</t>
  </si>
  <si>
    <t>2.2.6</t>
  </si>
  <si>
    <t>2.2.7</t>
  </si>
  <si>
    <t>2.2.8</t>
  </si>
  <si>
    <t>2.2.10</t>
  </si>
  <si>
    <t>KNR 2-02 2103-03 analogia</t>
  </si>
  <si>
    <t>Parapety wewnętrzne szer do 40 cm</t>
  </si>
  <si>
    <t>2.3</t>
  </si>
  <si>
    <t>Roboty wykończeniowe - posadzka</t>
  </si>
  <si>
    <t>2.3.1</t>
  </si>
  <si>
    <t>NNRNKB 202 1130-02</t>
  </si>
  <si>
    <t>Warstwy wyrównujące i wygładzające z zaprawy samopoziomującej grubości 5 mm wykonywane w pomieszczeniach o pow. ponad 8 m2</t>
  </si>
  <si>
    <t>2.3.2</t>
  </si>
  <si>
    <t>KNR AT-23 0101-02</t>
  </si>
  <si>
    <t>Przygotowanie podłoża pod wykonanie okładzin podłogowych - jednokrotne gruntowanie podłoża pod kleje cementowe</t>
  </si>
  <si>
    <t>2.3.3</t>
  </si>
  <si>
    <t>KNR AT-23 0206-07</t>
  </si>
  <si>
    <t>Okładziny podłogowe z płytek z kamieni sztucznych o regularnych kształtach na zaprawie klejowej cienkowarstwowej; płytki o wymiarach 40x40 cm</t>
  </si>
  <si>
    <t>2.3.4</t>
  </si>
  <si>
    <t>KNR AT-23 0216-06</t>
  </si>
  <si>
    <t>Cokoliki przyścienne z kształtek cokołowych o wysokości 10 cm na zaprawie cienkowarstwowej; kształtki o długości 28-40 cm</t>
  </si>
  <si>
    <t>3</t>
  </si>
  <si>
    <t>PARTER</t>
  </si>
  <si>
    <t>3.1</t>
  </si>
  <si>
    <t>3.1.1</t>
  </si>
  <si>
    <t>3.1.2</t>
  </si>
  <si>
    <t>KNR 4-01 0354-05 analogia</t>
  </si>
  <si>
    <t>Demontaż okien</t>
  </si>
  <si>
    <t>3.1.3</t>
  </si>
  <si>
    <t>3.1.4</t>
  </si>
  <si>
    <t>3.1.5</t>
  </si>
  <si>
    <t>KNR 2-02 0121-04 analogia</t>
  </si>
  <si>
    <t>Demontaż luksferów, wsp do R-0,3, M=0</t>
  </si>
  <si>
    <t>3.1.6</t>
  </si>
  <si>
    <t>3.1.7</t>
  </si>
  <si>
    <t>3.1.8</t>
  </si>
  <si>
    <t>3.1.9</t>
  </si>
  <si>
    <t>3.1.10</t>
  </si>
  <si>
    <t>3.1.11</t>
  </si>
  <si>
    <t>3.1.12</t>
  </si>
  <si>
    <t>3.2</t>
  </si>
  <si>
    <t>3.2.1</t>
  </si>
  <si>
    <t>KNR 4-01 0304-01 analogia</t>
  </si>
  <si>
    <t>Uzupełnienie ścian lub zamurowanie otworów w ścianach na zaprawie cementowo-wapiennej cegłami</t>
  </si>
  <si>
    <t>3.2.2</t>
  </si>
  <si>
    <t>KNR AT-12 0103-03</t>
  </si>
  <si>
    <t>Ścianki działowe z płyt gipsowo-kartonowych gr. 12 cm, pokrycie dwustronne, jednowarstwowe</t>
  </si>
  <si>
    <t>3.2.3</t>
  </si>
  <si>
    <t>3.2.4</t>
  </si>
  <si>
    <t>KNR 0-27 0160-03</t>
  </si>
  <si>
    <t>Ściany budynków jednokondygnacyjnych o wys. do 4,5 m i gr. 30 cm z pustaków ceramicznych</t>
  </si>
  <si>
    <t>3.2.5</t>
  </si>
  <si>
    <t>KNR-W 2-02 0801-02</t>
  </si>
  <si>
    <t>Tynki wewnętrzne zwykłe kat. III wykonywane mechanicznie na ścianach i słupach</t>
  </si>
  <si>
    <t>3.2.6</t>
  </si>
  <si>
    <t>3.2.7</t>
  </si>
  <si>
    <t>Parapety wewnętrzne szer 40 cm</t>
  </si>
  <si>
    <t>3.2.8</t>
  </si>
  <si>
    <t>KNR 4-01 0713-01</t>
  </si>
  <si>
    <t>Przecieranie istniejących tynków wewnętrznych z zeskrobaniem farby lub zdzieraniem tapet na ścianach</t>
  </si>
  <si>
    <t>3.2.9</t>
  </si>
  <si>
    <t>3.2.10</t>
  </si>
  <si>
    <t>3.2.11</t>
  </si>
  <si>
    <t>KNR 4-01 0713-02</t>
  </si>
  <si>
    <t>Przecieranie istniejących tynków wewnętrznych z zeskrobaniem farby lub zdzieraniem tapet na stropach, biegach i spocznikach</t>
  </si>
  <si>
    <t>3.2.12</t>
  </si>
  <si>
    <t>NNRNKB 202 1134-01</t>
  </si>
  <si>
    <t>3.2.13</t>
  </si>
  <si>
    <t>3.2.14</t>
  </si>
  <si>
    <t>KNR AT-22 0101-02</t>
  </si>
  <si>
    <t>Przygotowanie podłoża pod wykonanie okładzin ściennych - jednokrotne gruntowanie podłoża pod kleje cementowe</t>
  </si>
  <si>
    <t>3.2.15</t>
  </si>
  <si>
    <t>KNR AT-22 0204-06</t>
  </si>
  <si>
    <t>Okładziny ścienne z płytek z kamieni sztucznych o regularnych kształtach na zaprawie klejowej cienkowarstwowej; płytki o wymiarach 20x50 cm</t>
  </si>
  <si>
    <t>3.2.16</t>
  </si>
  <si>
    <t>KNR-W 2-02 1510-03</t>
  </si>
  <si>
    <t>Dwukrotne malowanie farbami lateksowymii powierzchni wewnętrznych - podłoży gipsowych z gruntowaniem - ściany</t>
  </si>
  <si>
    <t>3.2.17</t>
  </si>
  <si>
    <t>Dwukrotne malowanie farbami lateksowymii powierzchni wewnętrznych - podłoży gipsowych z gruntowaniem - sufit</t>
  </si>
  <si>
    <t>3.2.18</t>
  </si>
  <si>
    <t>Malowanie lakierem bezbarwnym matowym</t>
  </si>
  <si>
    <t>3.2.19</t>
  </si>
  <si>
    <t>TZKNBK XXII 0808-01</t>
  </si>
  <si>
    <t>3.2.20</t>
  </si>
  <si>
    <t>Winda - dostaw i montaż</t>
  </si>
  <si>
    <t>kpl</t>
  </si>
  <si>
    <t>3.2.21</t>
  </si>
  <si>
    <t>Kabiny WC z HPL z drzwiami D6</t>
  </si>
  <si>
    <t>3.3</t>
  </si>
  <si>
    <t>3.3.1</t>
  </si>
  <si>
    <t>3.3.2</t>
  </si>
  <si>
    <t>KNR-W 2-02 0608-03</t>
  </si>
  <si>
    <t>Izolacje cieplne z płyt styropianowych poziome</t>
  </si>
  <si>
    <t>3.3.3</t>
  </si>
  <si>
    <t>3.3.4</t>
  </si>
  <si>
    <t>3.3.5</t>
  </si>
  <si>
    <t>KNR 2-02 1106-07</t>
  </si>
  <si>
    <t>Dopłata za zbrojenie siatką stalową</t>
  </si>
  <si>
    <t>3.3.6</t>
  </si>
  <si>
    <t>3.3.7</t>
  </si>
  <si>
    <t>3.3.8</t>
  </si>
  <si>
    <t>3.3.9</t>
  </si>
  <si>
    <t>3.3.10</t>
  </si>
  <si>
    <t>Gruntowanie podłoży - powierzchnie poziome</t>
  </si>
  <si>
    <t>3.3.11</t>
  </si>
  <si>
    <t>KNR 2-02 1112-05</t>
  </si>
  <si>
    <t>Posadzki z wykładzin z tworzyw sztucznych bez warstwy izolacyjnej rulonowe - wykładzina PCV</t>
  </si>
  <si>
    <t>3.3.12</t>
  </si>
  <si>
    <t>KNR 2-02 1112-09</t>
  </si>
  <si>
    <t>Posadzki z wykładzin z tworzyw sztucznych - zgrzewanie wykładzin rulonowych</t>
  </si>
  <si>
    <t>3.3.13</t>
  </si>
  <si>
    <t>KNR 2-02 1113-06</t>
  </si>
  <si>
    <t>Cokoliki przyścienne z PCW przewodzącego klejone na wys. 10cm</t>
  </si>
  <si>
    <t>3.3.14</t>
  </si>
  <si>
    <t>3.3.15</t>
  </si>
  <si>
    <t>KNR 2-02 1112-05 analogia</t>
  </si>
  <si>
    <t>Posadzki z wykładzin z tworzyw sztucznych bez warstwy izolacyjnej rulonowe - wykładzina dywanowa</t>
  </si>
  <si>
    <t>3.3.16</t>
  </si>
  <si>
    <t>KNR 2-02 1113-06 analogia</t>
  </si>
  <si>
    <t>Cokoliki przyścienne z wykładzin dywanowych na wys. 10cm</t>
  </si>
  <si>
    <t>4</t>
  </si>
  <si>
    <t>PIĘTRO I</t>
  </si>
  <si>
    <t>4.1</t>
  </si>
  <si>
    <t>4.1.1</t>
  </si>
  <si>
    <t>4.1.2</t>
  </si>
  <si>
    <t>4.1.4</t>
  </si>
  <si>
    <t>4.1.5</t>
  </si>
  <si>
    <t>4.1.6</t>
  </si>
  <si>
    <t>4.1.8</t>
  </si>
  <si>
    <t>4.1.9</t>
  </si>
  <si>
    <t>4.1.10</t>
  </si>
  <si>
    <t>4.1.11</t>
  </si>
  <si>
    <t>4.2</t>
  </si>
  <si>
    <t>4.2.1</t>
  </si>
  <si>
    <t>4.2.2</t>
  </si>
  <si>
    <t>4.2.3</t>
  </si>
  <si>
    <t>4.2.4</t>
  </si>
  <si>
    <t>4.2.5</t>
  </si>
  <si>
    <t>4.2.6</t>
  </si>
  <si>
    <t>4.2.7</t>
  </si>
  <si>
    <t>4.2.8</t>
  </si>
  <si>
    <t>4.2.9</t>
  </si>
  <si>
    <t>4.2.10</t>
  </si>
  <si>
    <t>4.2.11</t>
  </si>
  <si>
    <t>4.2.12</t>
  </si>
  <si>
    <t>4.2.13</t>
  </si>
  <si>
    <t>4.2.14</t>
  </si>
  <si>
    <t>4.2.15</t>
  </si>
  <si>
    <t>4.2.16</t>
  </si>
  <si>
    <t>4.2.17</t>
  </si>
  <si>
    <t>4.2.18</t>
  </si>
  <si>
    <t>4.3</t>
  </si>
  <si>
    <t>4.3.1</t>
  </si>
  <si>
    <t>4.3.2</t>
  </si>
  <si>
    <t>4.3.3</t>
  </si>
  <si>
    <t>4.3.4</t>
  </si>
  <si>
    <t>4.3.5</t>
  </si>
  <si>
    <t>4.3.6</t>
  </si>
  <si>
    <t>4.3.7</t>
  </si>
  <si>
    <t>4.3.8</t>
  </si>
  <si>
    <t>4.3.9</t>
  </si>
  <si>
    <t>4.3.10</t>
  </si>
  <si>
    <t>4.3.11</t>
  </si>
  <si>
    <t>5</t>
  </si>
  <si>
    <t>5.1</t>
  </si>
  <si>
    <t>KNR 0-19 0928-10</t>
  </si>
  <si>
    <t>Demontaż i montaż okien rozwieranych i uchylno-rozwieranych dwudzielnych z PCV o pow. do 2.5 m2 - okno O1</t>
  </si>
  <si>
    <t>5.2</t>
  </si>
  <si>
    <t>Demontaż i montaż okien rozwieranych i uchylno-rozwieranych dwudzielnych z PCV o pow. do 2.5 m2 - okno O2</t>
  </si>
  <si>
    <t>5.3</t>
  </si>
  <si>
    <t>KNR 0-19 0931-04</t>
  </si>
  <si>
    <t>Wymiana stolarki drewnianej na okna aluminiowe o pow. do 3.0 m2 - okno O2.1 EI 60</t>
  </si>
  <si>
    <t>5.4</t>
  </si>
  <si>
    <t>Demontaż i montaż okien rozwieranych i uchylno-rozwieranych dwudzielnych z PCV o pow. do 2.5 m2 - okno O3</t>
  </si>
  <si>
    <t>5.5</t>
  </si>
  <si>
    <t>KNR 0-19 0928-07</t>
  </si>
  <si>
    <t>Demontaż i montaż okien rozwieranych i uchylno-rozwieranych jednodzielnych z PCV o pow. ponad 1.5 m2 - okno O4</t>
  </si>
  <si>
    <t>5.6</t>
  </si>
  <si>
    <t>Wymiana stolarki drewnianej na okna aluminiowe o pow. do 3.0 m2 - okno O4.1 EI 60</t>
  </si>
  <si>
    <t>5.7</t>
  </si>
  <si>
    <t>Demontaż i montaż okien rozwieranych i uchylno-rozwieranych jednodzielnych z PCV o pow. ponad 1.5 m2 - okno O5</t>
  </si>
  <si>
    <t>5.8</t>
  </si>
  <si>
    <t>Wymiana stolarki drewnianej na okna aluminiowe o pow. do 3.0 m2 - okno O5.1 EI 60</t>
  </si>
  <si>
    <t>5.9</t>
  </si>
  <si>
    <t>KNR 0-19 0928-06</t>
  </si>
  <si>
    <t>Demontaż i montaż okien rozwieranych i uchylno-rozwieranych jednodzielnych z PCV o pow. do 1.5 m2 - okno O6 antywłamaniowe</t>
  </si>
  <si>
    <t>5.10</t>
  </si>
  <si>
    <t>Demontaż i montaż okien rozwieranych i uchylno-rozwieranych jednodzielnych z PCV o pow. do 1.5 m2 - okno O7 antywłamaniowe</t>
  </si>
  <si>
    <t>KNR 0-19 0931-01</t>
  </si>
  <si>
    <t>6</t>
  </si>
  <si>
    <t>6.1</t>
  </si>
  <si>
    <t>KNR-W 2-02 1020-01 kalk. własna</t>
  </si>
  <si>
    <t>Drzwi wewnętrzne - D1 z ościeżnicą</t>
  </si>
  <si>
    <t>6.2</t>
  </si>
  <si>
    <t>6.3</t>
  </si>
  <si>
    <t>Drzwi wewnętrzne - D2 z ościeżnicą</t>
  </si>
  <si>
    <t>6.4</t>
  </si>
  <si>
    <t>6.5</t>
  </si>
  <si>
    <t>Drzwi wewnętrzne - D3 z ościeżnicą</t>
  </si>
  <si>
    <t>6.6</t>
  </si>
  <si>
    <t>KNR 0-19 1022-12</t>
  </si>
  <si>
    <t>Drzwi PCV - D4</t>
  </si>
  <si>
    <t>6.7</t>
  </si>
  <si>
    <t>KNR 0-19 1024-08</t>
  </si>
  <si>
    <t>6.8</t>
  </si>
  <si>
    <t>Drzwi PCV - D5</t>
  </si>
  <si>
    <t>6.9</t>
  </si>
  <si>
    <t>Montaż drzwi aluminiowych dwuskrzydłowych - drzwi D7</t>
  </si>
  <si>
    <t>6.10</t>
  </si>
  <si>
    <t>Montaż drzwi aluminiowych dwuskrzydłowych - drzwi D8</t>
  </si>
  <si>
    <t>6.11</t>
  </si>
  <si>
    <t>Montaż drzwi aluminiowych dwuskrzydłowych - drzwi D9</t>
  </si>
  <si>
    <t>7</t>
  </si>
  <si>
    <t>IZOLACJA ŚCIAN FUNDAMENTOWYCH</t>
  </si>
  <si>
    <t>7.1</t>
  </si>
  <si>
    <t>KNR 4-01 0212-01 analogia</t>
  </si>
  <si>
    <t>Rozbiórka elementów konstrukcji betonowych niezbrojonych o grubości do 15 cm - opaska wokół budynku</t>
  </si>
  <si>
    <t>7.2</t>
  </si>
  <si>
    <t>7.3</t>
  </si>
  <si>
    <t>7.4</t>
  </si>
  <si>
    <t>7.5</t>
  </si>
  <si>
    <t>7.6</t>
  </si>
  <si>
    <t>KNR-W 2-01 0317-02</t>
  </si>
  <si>
    <t>Jednostronne pełne umocnienie ścian wykopów o głębokości do 6.0 m bez względu na kategorię gruntu</t>
  </si>
  <si>
    <t>7.7</t>
  </si>
  <si>
    <t>KNR 0-17 2608-01 analogia</t>
  </si>
  <si>
    <t>Przygotowanie podłoża - oczyszczenie mechaniczne i zmycie</t>
  </si>
  <si>
    <t>7.8</t>
  </si>
  <si>
    <t>KNR AT-27 0101-03</t>
  </si>
  <si>
    <t>7.9</t>
  </si>
  <si>
    <t>KNR 4-01 0726-03</t>
  </si>
  <si>
    <t>Uzupełnienie tynków zewnętrznych zwykłych kat. III o podłożach z cegły</t>
  </si>
  <si>
    <t>7.10</t>
  </si>
  <si>
    <t>7.11</t>
  </si>
  <si>
    <t>7.12</t>
  </si>
  <si>
    <t>KNR AT-27 0103-05</t>
  </si>
  <si>
    <t>Gruntowanie ręczne</t>
  </si>
  <si>
    <t>7.13</t>
  </si>
  <si>
    <t>7.14</t>
  </si>
  <si>
    <t>7.15</t>
  </si>
  <si>
    <t>KNR 0-40 0102-01</t>
  </si>
  <si>
    <t>Wykonanie fasety uszczelniającej o promieniu 5 cm na styku fundamentu i ściany</t>
  </si>
  <si>
    <t>KNR 4-01 0105-01</t>
  </si>
  <si>
    <t>Zasypanie wykopów ziemią z ukopów z przerzutem ziemi na odległość do 3 m i ubiciem warstwami co 15 cm w gruncie kat. I-II</t>
  </si>
  <si>
    <t>KNR 2-01 0236-01</t>
  </si>
  <si>
    <t>Zagęszczenie nasypów ubijakami mechanicznymi; grunty sypkie kat. I-III</t>
  </si>
  <si>
    <t>KNR 2-31 0114-05</t>
  </si>
  <si>
    <t>Podbudowa z kruszywa łamanego - warstwa dolna o grubości po zagęszczeniu 15 cm - pod opaskę</t>
  </si>
  <si>
    <t>KNR 2-31 0511-03</t>
  </si>
  <si>
    <t>Nawierzchnie z kostki brukowej betonowej grubość 8 cm na podsypce cementowo-piaskowej</t>
  </si>
  <si>
    <t>KNR 2-31 0402-03</t>
  </si>
  <si>
    <t>Ława pod obrzeże</t>
  </si>
  <si>
    <t>KNR 2-31 0407-04</t>
  </si>
  <si>
    <t>Obrzeża betonowe o wymiarach 30x8 cm na podsypce piaskowej z wypełnieniem spoin zaprawą cementową</t>
  </si>
  <si>
    <t>8</t>
  </si>
  <si>
    <t>8.1</t>
  </si>
  <si>
    <t>Usunięcie z elewacji parapetów, obróbek, haków, wsporników, kabli, tablic i innych zbędnych  elementów</t>
  </si>
  <si>
    <t>8.2</t>
  </si>
  <si>
    <t>8.3</t>
  </si>
  <si>
    <t>Przygotowanie podłoża pod ocieplenie metodą lekką-mokrą - oczyszczenie mechaniczne i zmycie</t>
  </si>
  <si>
    <t>8.4</t>
  </si>
  <si>
    <t>KNR 0-17 2608-03 analogia</t>
  </si>
  <si>
    <t>Przygotowanie podłoża pod ocieplenie metodą lekką-mokrą - gruntowanie preparatem wzmacniającym jednokrotnie</t>
  </si>
  <si>
    <t>8.5</t>
  </si>
  <si>
    <t>KNR AT-31 0103-05</t>
  </si>
  <si>
    <t>Przyklejanie płyt z wełny mineralnej o gr. 18 cm na ścianach</t>
  </si>
  <si>
    <t>8.6</t>
  </si>
  <si>
    <t>KNR AT-31 0104-01</t>
  </si>
  <si>
    <t>Przyklejanie płyt z wełny mineralnej o gr. 2 cm na ościeżach</t>
  </si>
  <si>
    <t>8.7</t>
  </si>
  <si>
    <t>KNR AT-31 0103-06</t>
  </si>
  <si>
    <t>Wykonanie warstwy zbrojonej na ścianach</t>
  </si>
  <si>
    <t>8.8</t>
  </si>
  <si>
    <t>KNR AT-31 0104-04</t>
  </si>
  <si>
    <t>Wykonanie warstwy zbrojonej na ościeżach</t>
  </si>
  <si>
    <t>8.9</t>
  </si>
  <si>
    <t>KNR AT-31 0702-01</t>
  </si>
  <si>
    <t>Ochrona narożników wypukłych przy użyciu profilu narożnikowego</t>
  </si>
  <si>
    <t>8.10</t>
  </si>
  <si>
    <t>KNR AT-31 0503-01</t>
  </si>
  <si>
    <t>8.11</t>
  </si>
  <si>
    <t>KNR AT-31 0503-02</t>
  </si>
  <si>
    <t>KNR AT-31 0503-03</t>
  </si>
  <si>
    <t>Tynk elewacyjny cienkowarstwowy silikonowo - silikatowy ręcznie na ścianach</t>
  </si>
  <si>
    <t>KNR AT-31 0503-04</t>
  </si>
  <si>
    <t>NNRNKB 202 0541-02 analogia</t>
  </si>
  <si>
    <t>Obróbki blacharskie z blachy powlekanej o szer.w rozwinięciu ponad 25 cm - parapety</t>
  </si>
  <si>
    <t>KNR 2-02 1604-02</t>
  </si>
  <si>
    <t>Rusztowania zewnętrzne rurowe o wysokości do 15 m</t>
  </si>
  <si>
    <t>9</t>
  </si>
  <si>
    <t>9.1</t>
  </si>
  <si>
    <t>9.2</t>
  </si>
  <si>
    <t>9.3</t>
  </si>
  <si>
    <t>9.4</t>
  </si>
  <si>
    <t>9.5</t>
  </si>
  <si>
    <t>KNR AT-31 0101-05</t>
  </si>
  <si>
    <t>Przyklejanie płyt styropianowych gr. 18 cm na ścianach</t>
  </si>
  <si>
    <t>9.6</t>
  </si>
  <si>
    <t>KNR AT-31 0102-01</t>
  </si>
  <si>
    <t>Przyklejanie płyt styropianowych o gr. 2 cm na ościeżach</t>
  </si>
  <si>
    <t>9.7</t>
  </si>
  <si>
    <t>KNR AT-31 0101-06</t>
  </si>
  <si>
    <t>9.8</t>
  </si>
  <si>
    <t>9.9</t>
  </si>
  <si>
    <t>9.10</t>
  </si>
  <si>
    <t>9.11</t>
  </si>
  <si>
    <t>9.12</t>
  </si>
  <si>
    <t>9.13</t>
  </si>
  <si>
    <t>9.14</t>
  </si>
  <si>
    <t>9.15</t>
  </si>
  <si>
    <t>9.16</t>
  </si>
  <si>
    <t>Wykonanie warstwy zbrojonej na ścianach - słupy</t>
  </si>
  <si>
    <t>9.17</t>
  </si>
  <si>
    <t>9.18</t>
  </si>
  <si>
    <t>10</t>
  </si>
  <si>
    <t>10.1</t>
  </si>
  <si>
    <t>10.2</t>
  </si>
  <si>
    <t>10.3</t>
  </si>
  <si>
    <t>10.4</t>
  </si>
  <si>
    <t>10.5</t>
  </si>
  <si>
    <t>10.6</t>
  </si>
  <si>
    <t>11</t>
  </si>
  <si>
    <t>11.1</t>
  </si>
  <si>
    <t>Demontaż obróbek  wsp do R-0,3</t>
  </si>
  <si>
    <t>11.2</t>
  </si>
  <si>
    <t>KNR 4-04 0506-05</t>
  </si>
  <si>
    <t>Rozebranie rynien z blachy nie nadającej się do użytku</t>
  </si>
  <si>
    <t>11.3</t>
  </si>
  <si>
    <t>KNR 4-04 0506-06</t>
  </si>
  <si>
    <t>Rozebranie rur z blachy nie nadającej się do użytku</t>
  </si>
  <si>
    <t>Koszt składowania złomu w wyznaczonym miejscu</t>
  </si>
  <si>
    <t>KNR 4-04 0509-03</t>
  </si>
  <si>
    <t>Rozebranie pokrycia dachowego z papy na betonie na zakład</t>
  </si>
  <si>
    <t>KNR 0-22 0528-01</t>
  </si>
  <si>
    <t>Renowacja starych dachów krytych papą przy użyciu papy termozgrzewalnej - przygotowanie podłoża</t>
  </si>
  <si>
    <t>KNR 0-22 0527-01</t>
  </si>
  <si>
    <t>KNR 0-22 0529-04</t>
  </si>
  <si>
    <t>Obróbki dachowe murów ogniowych pasem papy szer. 30 cm przy zastosowaniu papy termozgrzewalnej</t>
  </si>
  <si>
    <t>mb</t>
  </si>
  <si>
    <t>KNR 0-22 0529-06</t>
  </si>
  <si>
    <t>Obróbki dachowe kominów przy zastosowaniu papy termozgrzewalnej</t>
  </si>
  <si>
    <t>mb obwodu</t>
  </si>
  <si>
    <t>Obróbki blacharskie z blachy powlekanej o szer.w rozwinięciu ponad 25 cm - pasy rynnowe</t>
  </si>
  <si>
    <t>Obróbki blacharskie z blachy powlekanej o szer.w rozwinięciu ponad 25 cm - kominy, klapa dymowa</t>
  </si>
  <si>
    <t>KNR-W 2-02 0522-02</t>
  </si>
  <si>
    <t>Rynny dachowe półokrągłe o śr. 15 cm - montaż z gotowych elementów z blachy stalowej ocynkowanej powlekanej</t>
  </si>
  <si>
    <t>KNR-W 2-02 0529-02</t>
  </si>
  <si>
    <t>Rury spustowe okrągłe o śr. 15 cm - montaż z gotowych elementów z blachy stalowej ocynkowanej powlekanej</t>
  </si>
  <si>
    <t>NNRNKB 202 1027-01</t>
  </si>
  <si>
    <t>kpl.</t>
  </si>
  <si>
    <t>KNR-W 4-02 40203-01</t>
  </si>
  <si>
    <t>Demontaż kratek wentylacyjnych</t>
  </si>
  <si>
    <t>KNR-W 2-17 0137-01</t>
  </si>
  <si>
    <t>Kratki wentylacyjne obwodzie do 1000 mm</t>
  </si>
  <si>
    <t>KNR 2-02 1213-03 analogia</t>
  </si>
  <si>
    <t>Drabiny zewnętrzne z kabłąkami</t>
  </si>
  <si>
    <t>KNR 4-01 0311-01</t>
  </si>
  <si>
    <t>Nadmurowanie murów ogniowych na zaprawie cementowo-wapiennej o grubości 1 ceg.</t>
  </si>
  <si>
    <t>KNR-W 4-01 0725-01</t>
  </si>
  <si>
    <t>Uzupełnienie tynków zewnętrznych zwykłych kategorii II o podłożach z cegły, pustaków ceramicznych, gazo-i pianobetonów o powierzchni do 1 m2 w 1 miejscu</t>
  </si>
  <si>
    <t>12</t>
  </si>
  <si>
    <t>ROZBIÓRKI ZEWNĘTRZNE</t>
  </si>
  <si>
    <t>12.1</t>
  </si>
  <si>
    <t>KNR 2-02 1210-02 analogia</t>
  </si>
  <si>
    <t>Demontaż krat   wsp do R-0,3, M-0</t>
  </si>
  <si>
    <t>12.2</t>
  </si>
  <si>
    <t>KNR 2-02 1207-02 analogia</t>
  </si>
  <si>
    <t>Demontaż balustrad  wsp do R-0,3, M-0</t>
  </si>
  <si>
    <t>12.3</t>
  </si>
  <si>
    <t>KNR 4-01 0347-09 analogia</t>
  </si>
  <si>
    <t>Skucie opasek wokół okien</t>
  </si>
  <si>
    <t>Rozbiórka elementów konstrukcji betonowych zbrojonych - schody</t>
  </si>
  <si>
    <t>Rozbiórka elementów konstrukcji betonowych zbrojonych - daszek nad schodami</t>
  </si>
  <si>
    <t>KNR 4-01 0212-02</t>
  </si>
  <si>
    <t>Rozbiórka elementów konstrukcji betonowych niezbrojonych o grubości ponad 15 cm - spocznik przed schodami</t>
  </si>
  <si>
    <t>13</t>
  </si>
  <si>
    <t>BALKON</t>
  </si>
  <si>
    <t>13.1</t>
  </si>
  <si>
    <t>KNR 4-01 0211-03</t>
  </si>
  <si>
    <t>Skucie nierówności betonu na posadzce</t>
  </si>
  <si>
    <t>13.2</t>
  </si>
  <si>
    <t>13.3</t>
  </si>
  <si>
    <t>KNR AT-23 0206-03</t>
  </si>
  <si>
    <t>Okładziny podłogowe z płytek z kamieni sztucznych o regularnych kształtach na zaprawie klejowej cienkowarstwowej; płytki o wymiarach 30x30 cm</t>
  </si>
  <si>
    <t>KNR AT-23 0216-04</t>
  </si>
  <si>
    <t>Cokoliki przyścienne z kształtek cokołowych o wysokości 10 cm na zaprawie cienkowarstwowej; kształtki o długości 10-18 cm</t>
  </si>
  <si>
    <t>Obróbki blacharskie z blachy powlekanej o szer.w rozwinięciu ponad 25 cm - obróbka zewnętrzna</t>
  </si>
  <si>
    <t>Balustrada balkonowa</t>
  </si>
  <si>
    <t>14</t>
  </si>
  <si>
    <t>SPOCZNIK PRZED WEJSCIEM</t>
  </si>
  <si>
    <t>14.1</t>
  </si>
  <si>
    <t>Skucie nierówności betonu</t>
  </si>
  <si>
    <t>14.2</t>
  </si>
  <si>
    <t>KNR 4-01 0203-01 analogia</t>
  </si>
  <si>
    <t>Uzupełnienie betonu</t>
  </si>
  <si>
    <t>14.3</t>
  </si>
  <si>
    <t>Wycieraczka o wym 53x66 cm</t>
  </si>
  <si>
    <t>szt</t>
  </si>
  <si>
    <t>14.4</t>
  </si>
  <si>
    <t>14.5</t>
  </si>
  <si>
    <t>14.6</t>
  </si>
  <si>
    <t>14.7</t>
  </si>
  <si>
    <t>14.8</t>
  </si>
  <si>
    <t>ZAGOSPODAROWANIE TERENU</t>
  </si>
  <si>
    <t>KNR 2-31 0401-03</t>
  </si>
  <si>
    <t>Rowki pod krawężniki i ławy krawężnikowe o wymiarach 30x30 cm w gruncie kat.I-II</t>
  </si>
  <si>
    <t>Nawierzchnie z kostki brukowej betonowej o grubości 8 cm na podsypce cementowo-piaskowej</t>
  </si>
  <si>
    <t>Malowanie lini oraz znaku P-24 na stanowiskacha dla niepełnosprawnych</t>
  </si>
  <si>
    <t>INSTALACJE SANITARNE</t>
  </si>
  <si>
    <t>1</t>
  </si>
  <si>
    <t>INSTALACJE CO</t>
  </si>
  <si>
    <t>Roboty demontażowe</t>
  </si>
  <si>
    <t>1.1.1</t>
  </si>
  <si>
    <t>KNNR 8 0410-01</t>
  </si>
  <si>
    <t>Demontaż rurociągu stalowego o połączeniach spawanych o śr.15 mm na ścianie</t>
  </si>
  <si>
    <t>1.1.2</t>
  </si>
  <si>
    <t>KNNR 8 0410-02</t>
  </si>
  <si>
    <t>Demontaż rurociągu stalowego o połączeniach spawanych o śr.20 mm na ścianie</t>
  </si>
  <si>
    <t>1.1.3</t>
  </si>
  <si>
    <t>KNNR 8 0410-03</t>
  </si>
  <si>
    <t>Demontaż rurociągu stalowego o połączeniach spawanych o śr.25 mm na ścianie</t>
  </si>
  <si>
    <t>1.1.4</t>
  </si>
  <si>
    <t>Demontaż rurociągu stalowego o połączeniach spawanych o śr.32 mm na ścianie</t>
  </si>
  <si>
    <t>1.1.5</t>
  </si>
  <si>
    <t>KNNR 8 0410-04</t>
  </si>
  <si>
    <t>Demontaż rurociągu stalowego o połączeniach spawanych o śr.40 mm na ścianie</t>
  </si>
  <si>
    <t>1.1.6</t>
  </si>
  <si>
    <t>KNNR 8 0412-05</t>
  </si>
  <si>
    <t>Demontaż zaworu grzejnikowego lub dwuzłączki o śr.15-20mm</t>
  </si>
  <si>
    <t>1.1.7</t>
  </si>
  <si>
    <t>KNNR 8 0422-02</t>
  </si>
  <si>
    <t>Demontaż grzejnika żeliwnego członowego o pow. ogrzewalnej 7.5 m2</t>
  </si>
  <si>
    <t>1.1.8</t>
  </si>
  <si>
    <t>1.1.9</t>
  </si>
  <si>
    <t>1.1.10</t>
  </si>
  <si>
    <t>Roboty montażowe</t>
  </si>
  <si>
    <t>1.2.1</t>
  </si>
  <si>
    <t>KNR INSTAL 0401-02 analogia</t>
  </si>
  <si>
    <t>Rura ze stali węglowej, ocynkowana 15x1,2 mm</t>
  </si>
  <si>
    <t>1.2.2</t>
  </si>
  <si>
    <t>KNR INSTAL 0401-03 analogia</t>
  </si>
  <si>
    <t>Rura ze stali węglowej, ocynkowana 18x1,2 mm</t>
  </si>
  <si>
    <t>1.2.3</t>
  </si>
  <si>
    <t>KNR INSTAL 0401-05 analogia</t>
  </si>
  <si>
    <t>Rura ze stali węglowej, ocynkowana 28x1,5 mm</t>
  </si>
  <si>
    <t>1.2.4</t>
  </si>
  <si>
    <t>KNR INSTAL 0401-06 analogia</t>
  </si>
  <si>
    <t>Rura ze stali węglowej, ocynkowana 35x1,5 mm</t>
  </si>
  <si>
    <t>1.2.5</t>
  </si>
  <si>
    <t>KNR INSTAL 0401-07 analogia</t>
  </si>
  <si>
    <t>Rura ze stali węglowej, ocynkowana 42x1,5 mm</t>
  </si>
  <si>
    <t>1.2.6</t>
  </si>
  <si>
    <t>KNR INSTAL 0307-01</t>
  </si>
  <si>
    <t>Płukanie instalacji c.o.</t>
  </si>
  <si>
    <t>1.2.7</t>
  </si>
  <si>
    <t>KNR INSTAL 0307-03</t>
  </si>
  <si>
    <t>Próba szczelności instalacji c.o. w budynkach niemieszkalnych</t>
  </si>
  <si>
    <t>1.2.8</t>
  </si>
  <si>
    <t>KNR INSTAL 0309-02</t>
  </si>
  <si>
    <t>Zawór powrotny prosty DN 15</t>
  </si>
  <si>
    <t>1.2.9</t>
  </si>
  <si>
    <t>KNR INSTAL 0309-07</t>
  </si>
  <si>
    <t>Zawór termoststyczny prosty DN 15</t>
  </si>
  <si>
    <t>1.2.10</t>
  </si>
  <si>
    <t>KNR 0-35 0215-04</t>
  </si>
  <si>
    <t>Głowica termostatyczna</t>
  </si>
  <si>
    <t>1.2.11</t>
  </si>
  <si>
    <t>KNR 0-35 0215-09</t>
  </si>
  <si>
    <t>Odpowietrzniki automatyczne; śr. nom. 15 mm</t>
  </si>
  <si>
    <t>1.2.12</t>
  </si>
  <si>
    <t>KNNR 4 0519-01</t>
  </si>
  <si>
    <t>Zawór kulowy DN 15</t>
  </si>
  <si>
    <t>1.2.13</t>
  </si>
  <si>
    <t>KNNR 4 0418-07</t>
  </si>
  <si>
    <t>Grzejniki lewe G_NZ 21S/600/400</t>
  </si>
  <si>
    <t>1.2.14</t>
  </si>
  <si>
    <t>Grzejniki lewe G_NZ 21S/600/520</t>
  </si>
  <si>
    <t>1.2.15</t>
  </si>
  <si>
    <t>Grzejniki lewe G_NZ 22/600/520</t>
  </si>
  <si>
    <t>1.2.16</t>
  </si>
  <si>
    <t>Grzejniki lewe G_NZ 22/600/600</t>
  </si>
  <si>
    <t>1.2.17</t>
  </si>
  <si>
    <t>Grzejniki lewe G_NZ 22/600/720</t>
  </si>
  <si>
    <t>1.2.18</t>
  </si>
  <si>
    <t>Grzejniki lewe G_NZ 22/600/800</t>
  </si>
  <si>
    <t>1.2.19</t>
  </si>
  <si>
    <t>Grzejniki lewe G_NZ 22/600/1120</t>
  </si>
  <si>
    <t>1.2.20</t>
  </si>
  <si>
    <t>Grzejniki lewe G_NZ 22/900/600</t>
  </si>
  <si>
    <t>1.2.21</t>
  </si>
  <si>
    <t>Grzejniki lewe G_NZ 22/900/920</t>
  </si>
  <si>
    <t>1.2.22</t>
  </si>
  <si>
    <t>Grzejniki prawe G_NZ 21S/600/400</t>
  </si>
  <si>
    <t>1.2.23</t>
  </si>
  <si>
    <t>Grzejniki prawe G_NZ 21S/600/600</t>
  </si>
  <si>
    <t>1.2.24</t>
  </si>
  <si>
    <t>Grzejniki prawe G_NZ 22/600/520</t>
  </si>
  <si>
    <t>1.2.25</t>
  </si>
  <si>
    <t>Grzejniki prawe G_NZ 22/600/600</t>
  </si>
  <si>
    <t>1.2.26</t>
  </si>
  <si>
    <t>Grzejniki prawe G_NZ 22/600/720</t>
  </si>
  <si>
    <t>1.2.27</t>
  </si>
  <si>
    <t>Grzejniki prawe G_NZ 22/600/800</t>
  </si>
  <si>
    <t>1.2.28</t>
  </si>
  <si>
    <t>Grzejniki prawe G_NZ 22/600/1000</t>
  </si>
  <si>
    <t>1.2.29</t>
  </si>
  <si>
    <t>Grzejniki prawe G_NZ 22/900/600</t>
  </si>
  <si>
    <t>1.2.30</t>
  </si>
  <si>
    <t>Grzejniki prawe G_NZ 22/900/1120</t>
  </si>
  <si>
    <t>1.2.31</t>
  </si>
  <si>
    <t>KNNR 4 0418-11</t>
  </si>
  <si>
    <t>Grzejniki prawe G_NZ 33/600/920</t>
  </si>
  <si>
    <t>1.2.32</t>
  </si>
  <si>
    <t>KNNR 4 0436-01</t>
  </si>
  <si>
    <t>Próby z dokonaniem regulacji instalacji centralnego ogrzewania (na gorąco)</t>
  </si>
  <si>
    <t>urz.</t>
  </si>
  <si>
    <t>1.2.33</t>
  </si>
  <si>
    <t>Przejścia uruociągów przez przegrody p.poż wraz zastosowaniem kołnierzy ogniochronnych</t>
  </si>
  <si>
    <t>Roboty budowlane</t>
  </si>
  <si>
    <t>1.3.1</t>
  </si>
  <si>
    <t>KNR 4-01 0333-08</t>
  </si>
  <si>
    <t>Przebicie otworów w ścianach z cegieł o grubości 1/2 ceg. na zaprawie cementowo-wapiennej</t>
  </si>
  <si>
    <t>1.3.2</t>
  </si>
  <si>
    <t>KNR 4-01 0333-09</t>
  </si>
  <si>
    <t>Przebicie otworów w ścianach z cegieł o grubości 1 ceg. na zaprawie cementowo-wapiennej</t>
  </si>
  <si>
    <t>1.3.3</t>
  </si>
  <si>
    <t>KNR 4-01 0333-10</t>
  </si>
  <si>
    <t>Przebicie otworów w ścianach z cegieł o grubości 1 1/2 ceg. na zaprawie cementowo-wapiennej</t>
  </si>
  <si>
    <t>1.3.4</t>
  </si>
  <si>
    <t>KNR 4-01 0333-21</t>
  </si>
  <si>
    <t>Przebicie otworów w stropie</t>
  </si>
  <si>
    <t>1.3.5</t>
  </si>
  <si>
    <t>KNR 4-01 0323-02</t>
  </si>
  <si>
    <t>Zamurowanie przebić w ścianach z cegieł o grub. 1/2 ceg.</t>
  </si>
  <si>
    <t>1.3.6</t>
  </si>
  <si>
    <t>KNR 4-01 0323-03</t>
  </si>
  <si>
    <t>Zamurowanie przebić w ścianach z cegieł o grub. 1 ceg.</t>
  </si>
  <si>
    <t>1.3.7</t>
  </si>
  <si>
    <t>KNR 4-01 0323-04</t>
  </si>
  <si>
    <t>Zamurowanie przebić w ścianach z cegieł o grubości ponad 1 ceg.</t>
  </si>
  <si>
    <t>1.3.8</t>
  </si>
  <si>
    <t>KNR 4-01 0323-05</t>
  </si>
  <si>
    <t>Zamurowanie przebić w stropach</t>
  </si>
  <si>
    <t>1.3.9</t>
  </si>
  <si>
    <t>KNR 4-01 0709-05</t>
  </si>
  <si>
    <t>Uzupełnienie tynków zwykłych wewnętrznych kat. III z zaprawy cementowo-wapiennej o powierzchni do 0.5 m2 na podłożach z cegły, pustaków ceramicznych, betonu na ścianach</t>
  </si>
  <si>
    <t>1.3.10</t>
  </si>
  <si>
    <t>KNR 4-01 0709-06</t>
  </si>
  <si>
    <t>Uzupełnienie tynków zwykłych wewnętrznych kat. III z zaprawy cementowo-wapiennej o powierzchni do 0.5 m2 na podłożach z cegły, pustaków ceramicznych, betonu na stropach</t>
  </si>
  <si>
    <t>WENTYLACJA</t>
  </si>
  <si>
    <t>KNR 2-17 0205-01 analogia</t>
  </si>
  <si>
    <t>Wentylator łazienkowy</t>
  </si>
  <si>
    <t>KNR 2-17 0140-01</t>
  </si>
  <si>
    <t>Kratka wyciągowa na kanał okrągły ?100</t>
  </si>
  <si>
    <t>Kratka wyciągowa na kanał okrągły ?125</t>
  </si>
  <si>
    <t>KNR 9-16 0104-07</t>
  </si>
  <si>
    <t>Izolacja kanałów wentylacyjnych wełną mineralną gr. 25 mm w foli Alu</t>
  </si>
  <si>
    <t>m2 izolacji</t>
  </si>
  <si>
    <t>KNR-W 2-17 0114-01</t>
  </si>
  <si>
    <t>Przewody wentylacyjne z blachy stalowej, kołowe, typ B/I o śr. 100 mm - udział kształtek do 55 %</t>
  </si>
  <si>
    <t>KNR-W 2-17 0114-02</t>
  </si>
  <si>
    <t>Przewody wentylacyjne z blachy stalowej, kołowe, typ B/I o śr. 125 mm - udział kształtek do 55 %</t>
  </si>
  <si>
    <t>Przewody wentylacyjne z blachy stalowej, kołowe, typ B/I o śr. 160 mm - udział kształtek do 55 %</t>
  </si>
  <si>
    <t>Przewody wentylacyjne z blachy stalowej, kołowe, typ B/I o śr. 200 mm - udział kształtek do 55 %</t>
  </si>
  <si>
    <t>KNR-W 2-17 0208-01</t>
  </si>
  <si>
    <t>2.1.10</t>
  </si>
  <si>
    <t>2.1.11</t>
  </si>
  <si>
    <t>2.1.12</t>
  </si>
  <si>
    <t>KNR-W 2-17 0156-01 analogia</t>
  </si>
  <si>
    <t>Nawiewnik okienny higro</t>
  </si>
  <si>
    <t>KNR 7-28 0205-06</t>
  </si>
  <si>
    <t>Przebicie otworów o powierzchni ponad 0.1 do 0.5 m2 dla przewodów wenylacyjnych w ścianach murowanych o grubości 1/2 ceg.</t>
  </si>
  <si>
    <t>otw.</t>
  </si>
  <si>
    <t>KNR 7-28 0205-07</t>
  </si>
  <si>
    <t>Przebicie otworów o powierzchni ponad 0.1 do 0.5 m2 dla przewodów wenylacyjnych w ścianach murowanych o grubości 1 ceg.</t>
  </si>
  <si>
    <t>KNR 7-28 0205-08</t>
  </si>
  <si>
    <t>Przebicie otworów o powierzchni ponad 0.1 do 0.5 m2 dla przewodów wenylacyjnych w ścianach murowanych o grubości 1 1/2 ceg.</t>
  </si>
  <si>
    <t>KNR 7-28 0206-09 analogia</t>
  </si>
  <si>
    <t>Przebicie otworów o pow.ponad 0.1 do 0.5 m2 dla przewodów klimatyzacyjnych w stropach betonowych o grubości do 30 cm</t>
  </si>
  <si>
    <t>KNR 4-01 0710-01</t>
  </si>
  <si>
    <t>Uzupełnienie tynków zwykłych wewnętrznych kat. II z zaprawie cementowo-wapiennej na ścianach i słupach prostokątnych na podłożu z cegły i pustaków (do 1 m2 w 1 miejscu)</t>
  </si>
  <si>
    <t>KNR 4-01 0710-19</t>
  </si>
  <si>
    <t>Uzupełnienie tynków zwykłych wewnętrznych kat. II z zaprawy cementowo-wapiennej na stropach, belkach, podciągach, biegach, spocznikach na podłożu z betonu, siatek, płyt wiórowo-cementowych (do 1 m2 w 1 miejscu)</t>
  </si>
  <si>
    <t>Obudowa kanałów płytami gipsowo-kartonowymi na rusztach metalowych</t>
  </si>
  <si>
    <t>INSTALACJE WOD-KAN</t>
  </si>
  <si>
    <t>KNNR 8 0108-01</t>
  </si>
  <si>
    <t>Demontaż rurociągu stalowego ocynkowanego o śr.15-20 mm na ścianie</t>
  </si>
  <si>
    <t>KNNR 8 0108-02</t>
  </si>
  <si>
    <t>Demontaż rurociągu stalowego ocynkowanego o śr.25-32 mm na ścianie</t>
  </si>
  <si>
    <t>KNNR 8 0108-03</t>
  </si>
  <si>
    <t>Demontaż rurociągu stalowego ocynkowanego o śr.40-50 mm na ścianie</t>
  </si>
  <si>
    <t>KNNR 8 0122-04</t>
  </si>
  <si>
    <t>Demontaż baterii ściennej umywalkowej lub zmywakowej</t>
  </si>
  <si>
    <t>KNNR 8 0222-07</t>
  </si>
  <si>
    <t>Demontaż rurociągu z PCW o śr. do 50 mm na ścianie</t>
  </si>
  <si>
    <t>KNNR 8 0222-08</t>
  </si>
  <si>
    <t>Demontaż rurociągu z PCW o śr.75-110 mm na ścianie</t>
  </si>
  <si>
    <t>KNNR 8 0222-09</t>
  </si>
  <si>
    <t>Demontaż rurociągu z PCW o śr.125-160mm na ścianie</t>
  </si>
  <si>
    <t>KNNR 8 0225-02</t>
  </si>
  <si>
    <t>Demontaż zmywaka zlewozmywaka żeliwnego lub kamionkowego</t>
  </si>
  <si>
    <t>KNNR 8 0225-03</t>
  </si>
  <si>
    <t>Demontaż umywalki porcelanowej</t>
  </si>
  <si>
    <t>KNNR 8 0225-05</t>
  </si>
  <si>
    <t>Demontaż ustępu z miską porcelanową lub żeliwną</t>
  </si>
  <si>
    <t>KNNR 8 0225-06</t>
  </si>
  <si>
    <t>Demontaż pisuaru porcelanowego</t>
  </si>
  <si>
    <t>KNNR 4 0112-01</t>
  </si>
  <si>
    <t>Rura PP PN20 20x3,4</t>
  </si>
  <si>
    <t>KNNR 4 0112-02</t>
  </si>
  <si>
    <t>Rura PP PN20 25x4,2</t>
  </si>
  <si>
    <t>KNNR 4 0112-03</t>
  </si>
  <si>
    <t>Rura PP PN20 32x5,4</t>
  </si>
  <si>
    <t>KNNR 4 0112-04</t>
  </si>
  <si>
    <t>Rura PP PN20 40x6,7</t>
  </si>
  <si>
    <t>KNNR 4 0112-05</t>
  </si>
  <si>
    <t>Rura PP PN20 50x8,3</t>
  </si>
  <si>
    <t>Rura PP PN20 20x3,4 stabi</t>
  </si>
  <si>
    <t>Rura PP PN20 25x4,2 stabi</t>
  </si>
  <si>
    <t>Rura PP PN20 32x5,4 stabi</t>
  </si>
  <si>
    <t>Rura PP PN20 40x6,7 stabi</t>
  </si>
  <si>
    <t>KNNR 4 0128-02</t>
  </si>
  <si>
    <t>Płukanie instalacji wodociągowej w budynkach niemieszkalnych</t>
  </si>
  <si>
    <t>KNNR 4 0127-01</t>
  </si>
  <si>
    <t>Próba szczelności instalacji wodociągowych z rur z tworzyw sztucznych - próba zasadnicza (pulsacyjna)</t>
  </si>
  <si>
    <t>prob.</t>
  </si>
  <si>
    <t>KNNR 4 0127-05 analogia</t>
  </si>
  <si>
    <t>Próba szczelności instalacji wodociągowych z rur z tworzyw sztucznych - dodatek w budynkach niemieszkalnych</t>
  </si>
  <si>
    <t>KNNR 4 0132-01</t>
  </si>
  <si>
    <t>Zawór ćwierćobrotowy DN 15</t>
  </si>
  <si>
    <t>KNNR 4 0132-02</t>
  </si>
  <si>
    <t>Zawór kulowy DN 20</t>
  </si>
  <si>
    <t>KNNR 4 0132-03</t>
  </si>
  <si>
    <t>Zawór kulowy DN 25</t>
  </si>
  <si>
    <t>KNNR 4 0132-04</t>
  </si>
  <si>
    <t>Zawór kulowy DN 32</t>
  </si>
  <si>
    <t>KNR 0-35 0132-02 analogia</t>
  </si>
  <si>
    <t>Izolator przepływów zwrotnych HA DN 20</t>
  </si>
  <si>
    <t>Termostatyczny zawór cyrkulacyjny DN 15</t>
  </si>
  <si>
    <t>KNR 0-34 0101-01</t>
  </si>
  <si>
    <t>Izolacja rurociągów śr.22 mm otulinami PE - jednowarstwowymi gr.6 mm</t>
  </si>
  <si>
    <t>KNR 0-34 0101-14</t>
  </si>
  <si>
    <t>Izolacja rurociągów śr.22 mm otulinami PE - jednowarstwowymi gr.25 mm</t>
  </si>
  <si>
    <t>3.2.22</t>
  </si>
  <si>
    <t>KNR 0-34 0101-02</t>
  </si>
  <si>
    <t>Izolacja rurociągów śr.25 mm otulinami PE - jednowarstwowymi gr.6 mm</t>
  </si>
  <si>
    <t>KNR 0-34 0101-15</t>
  </si>
  <si>
    <t>Izolacja rurociągów śr.25 mm otulinami PE - jednowarstwowymi gr.25 mm</t>
  </si>
  <si>
    <t>Izolacja rurociągów śr.35 mm otulinami PE- jednowarstwowymi gr.6 mm</t>
  </si>
  <si>
    <t>Izolacja rurociągów śr.35 mm otulinami PE - jednowarstwowymi gr.25 mm</t>
  </si>
  <si>
    <t>Izolacja rurociągów śr.42 mm otulinami PE - jednowarstwowymi gr.6 mm</t>
  </si>
  <si>
    <t>KNR 0-34 0110-14</t>
  </si>
  <si>
    <t>Izolacja dwuwarstwowa rurociągów śr.42 mm otulinami PE - gr.izolacji 40 mm</t>
  </si>
  <si>
    <t>KNR 0-34 0101-05</t>
  </si>
  <si>
    <t>Izolacja rurociągów śr.54 mm otulinami PE - jednowarstwowymi gr.10 mm</t>
  </si>
  <si>
    <t>KNNR 4 0137-02</t>
  </si>
  <si>
    <t>Baterie umywalkowe stojące o śr. nominalnej 15 mm</t>
  </si>
  <si>
    <t>Baterie umywalkowe stojące dla umywalki dla osób niepełnosprawnych o śr. nominalnej 15 mm</t>
  </si>
  <si>
    <t>Baterie zlewozmywakowe stojące o śr. nominalnej 15 mm</t>
  </si>
  <si>
    <t>KNNR 4 0135-01</t>
  </si>
  <si>
    <t>Zawory czerpalne o śr. nominalnej 15 mm</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</si>
  <si>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</si>
  <si>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</si>
  <si>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</si>
  <si>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</si>
  <si>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KNNR 4 0208-01</t>
  </si>
  <si>
    <t>Rurociągi kanalizacyjne z PVC o śr. 50 mm na ścianach w budynkach niemieszkalnych o połączeniach wciskowych</t>
  </si>
  <si>
    <t>KNNR 4 0208-02</t>
  </si>
  <si>
    <t>Rurociągi kanalizacyjne z PVC o śr. 75 mm na ścianach w budynkach niemieszkalnych o połączeniach wciskowych</t>
  </si>
  <si>
    <t>KNNR 4 0208-03</t>
  </si>
  <si>
    <t>Rurociągi kanalizacyjne z PVC o śr. 110 mm na ścianach w budynkach niemieszkalnych o połączeniach wciskowych</t>
  </si>
  <si>
    <t>KNNR 4 0208-04</t>
  </si>
  <si>
    <t>Rura PVC-U 160 x 4,7</t>
  </si>
  <si>
    <t>KNNR 4 0222-01</t>
  </si>
  <si>
    <t>Czyszczaki z PVC kanalizacyjne o śr. 75 mm o połączeniach wciskowych</t>
  </si>
  <si>
    <t>KNNR 4 0222-02</t>
  </si>
  <si>
    <t>Czyszczaki z PVC kanalizacyjne o śr. 110 mm o połączeniach wciskowych</t>
  </si>
  <si>
    <t>KNNR 4 0213-05 analogia</t>
  </si>
  <si>
    <t>Rury wywiewne z PVC o połączeniu wciskowym o śr. 110 mm</t>
  </si>
  <si>
    <t>KNNR 4 0218-01</t>
  </si>
  <si>
    <t>Wpusty ściekowe z tworzywa sztucznego o śr. 50 mm</t>
  </si>
  <si>
    <t>KNNR 4 0230-02</t>
  </si>
  <si>
    <t>Umywalka pojedyncza</t>
  </si>
  <si>
    <t>Umywalka pojedyncza dla niepełnosprawnych</t>
  </si>
  <si>
    <t>KNNR 4 0230-05</t>
  </si>
  <si>
    <t>Półpostument porcelanowy do umywalek</t>
  </si>
  <si>
    <t>KNNR 4 0234-02</t>
  </si>
  <si>
    <t>Pisuary pojedyncze z zaworem spłukującym</t>
  </si>
  <si>
    <t>KNNR 4 0229-04</t>
  </si>
  <si>
    <t>Zlewozmywak jednokomorowy</t>
  </si>
  <si>
    <t>Zlew prostokątny</t>
  </si>
  <si>
    <t>KNR 2-15/GEBERIT 0101-01</t>
  </si>
  <si>
    <t>Elementy montażowe podtynkowe do miski ustępowej montowane na ścianie</t>
  </si>
  <si>
    <t>KNR 2-15/GEBERIT 0104-01</t>
  </si>
  <si>
    <t>Urządzenia sanitarne na elemencie montażowym - miska ustępowa</t>
  </si>
  <si>
    <t>Urządzenia sanitarne na elemencie montażowym - miska ustępowa dla niepełnosprawnych</t>
  </si>
  <si>
    <t>KNR 2-15/GEBERIT 0105-01</t>
  </si>
  <si>
    <t>Przyciski do spłuczek podtynkowych</t>
  </si>
  <si>
    <t>KNNR 4 0211-01</t>
  </si>
  <si>
    <t>Dodatki za wykonanie podejść odpływowych z PVC o śr. 50 mm o połączeniach wciskowych</t>
  </si>
  <si>
    <t>KNNR 4 0211-03</t>
  </si>
  <si>
    <t>Dodatki za wykonanie podejść odpływowych z PVC o śr. 110 mm o połączeniach wciskowych</t>
  </si>
  <si>
    <t>Uchwyt dla niepełnosoprawnych do WC</t>
  </si>
  <si>
    <t>Uchwyt dla niepełnosoprawnych do umywalki</t>
  </si>
  <si>
    <t>KNR 4-01 0212-01</t>
  </si>
  <si>
    <t>Rozbiórka elementów konstrukcji betonowych niezbrojonych o grubości do 15 cm - rozbiórka posadzki pod kanalizację</t>
  </si>
  <si>
    <t>KNR 2-01 0307-01</t>
  </si>
  <si>
    <t>Roboty ziemne z przewozem gruntu taczkami na odległość do 10 m (kat. gruntu I-II)</t>
  </si>
  <si>
    <t>KNR 2-01 0320-0101</t>
  </si>
  <si>
    <t>Zasypywanie wykopów liniowych o ścianach pionowych w gruntach kat. I-II; głębokość do 1,5 m, szerokość 0,8-1,5 m</t>
  </si>
  <si>
    <t>Zabetonowanie posadzki pod kanalizcję</t>
  </si>
  <si>
    <t>KNR 4-01 0333-12</t>
  </si>
  <si>
    <t>Przebicie otworów w ścianach z cegieł o grubości 2 1/2 ceg. na zaprawie cementowo-wapiennej</t>
  </si>
  <si>
    <t>Zamurowanie przebić w ścianach z cegieł o grubości 1 ceg.</t>
  </si>
  <si>
    <t>Zamurowanie przebić w ścianach z cegieł o grub. ponad 1 ceg.</t>
  </si>
  <si>
    <t>3.3.17</t>
  </si>
  <si>
    <t>KNR 4-01 0339-04</t>
  </si>
  <si>
    <t>Wykucie bruzd pionowych 1/2x1 ceg. w ścianach z cegieł na zaprawie cementowo-wapiennej</t>
  </si>
  <si>
    <t>KNR 4-01 0325-05</t>
  </si>
  <si>
    <t>Zamurowanie bruzd pionowych lub pochyłych o przekroju 1/2x1 ceg. w ścianach z cegieł</t>
  </si>
  <si>
    <t>KNR 4-01 0336-04</t>
  </si>
  <si>
    <t>Wykucie bruzd poziomych 1/2x1 ceg. w ścianach z cegieł na zaprawie cementowo-wapiennej</t>
  </si>
  <si>
    <t>KNR 4-01 0324-05</t>
  </si>
  <si>
    <t>Zamurowanie bruzd poziomych o przekroju 1/2x1 ceg. w ścianach z cegieł 'na pełno'</t>
  </si>
  <si>
    <t>Obudowa rurociągów płytami gipsowo-kartonowymi na rusztach metalowych</t>
  </si>
  <si>
    <t>INSTALACJE ELEKTRYCZNE</t>
  </si>
  <si>
    <t>INSTALACJA OŚWIETLENIA</t>
  </si>
  <si>
    <t>KNNR 5 0512-04 z.sz.2.3.</t>
  </si>
  <si>
    <t>Oprawa oświetleniowa LED typu "OP1" - dostawa i montaż</t>
  </si>
  <si>
    <t>Oprawa oświetleniowa LED typu "OP2" - dostawa i montaż</t>
  </si>
  <si>
    <t>Oprawa oświetleniowa LED typu "OP3" - dostawa i montaż</t>
  </si>
  <si>
    <t>Oprawa oświetleniowa LED typu "OP4" - dostawa i montaż</t>
  </si>
  <si>
    <t>KNNR 5 1008-04</t>
  </si>
  <si>
    <t>KNNR 5 0512-03</t>
  </si>
  <si>
    <t>KNNR 5 0301-11</t>
  </si>
  <si>
    <t>Przygotowanie podłoża pod osprzęt instalacyjny mocowany na zaprawie cementowej lub gipsowej - wykonanie ślepych otworów w podłożu ceglanym</t>
  </si>
  <si>
    <t>KNNR 5 0304-01</t>
  </si>
  <si>
    <t>Odgałęźniki bryzgoszczelne  75x75 z tworzywa sztucznego o 3 wylotach mocowane bezśrubowo</t>
  </si>
  <si>
    <t>KNNR 5 0303-02</t>
  </si>
  <si>
    <t>Puszki z tworzywa sztucznego  5x2,5mm2 IP20</t>
  </si>
  <si>
    <t>KNNR 5 0302-01</t>
  </si>
  <si>
    <t>Puszki instalacyjne podtynkowe pojedyncze o śr.do 60 mm</t>
  </si>
  <si>
    <t>KNNR 5 0306-02</t>
  </si>
  <si>
    <t>Łączniki i przyciski jednobiegunowe podtynkowe w puszce instalacyjnej</t>
  </si>
  <si>
    <t>KNNR 5 0306-03</t>
  </si>
  <si>
    <t>Łączniki świecznikowe podtynkowe w puszce instalacyjnej</t>
  </si>
  <si>
    <t>KNNR 5 0306-04</t>
  </si>
  <si>
    <t>Łącznik schodowy 16A, 250V, pt</t>
  </si>
  <si>
    <t>KNNR 5 0307-03</t>
  </si>
  <si>
    <t>Łącznik schodowy hermetyczny 10A, 250V</t>
  </si>
  <si>
    <t>MATERIAŁ</t>
  </si>
  <si>
    <t>Dostawa ramek 1 krotnych</t>
  </si>
  <si>
    <t>KNNR 5 0406-01</t>
  </si>
  <si>
    <t>Aparaty elektryczne o masie do 2.5 kg</t>
  </si>
  <si>
    <t>KNNR 5 1207-01</t>
  </si>
  <si>
    <t>Wykucie bruzd dla przewodów wtynkowych w cegle</t>
  </si>
  <si>
    <t>KNNR 5 0205-01</t>
  </si>
  <si>
    <t>Przewody kabelkowe o łącznym przekroju żył do 7.5 mm2 układane p.t. w gotowych bruzdach w podłożu innym niż betonowe   Przewód miedziany w izolacji i powłoce polwinitowej 750V YDY 2x1,5mm2</t>
  </si>
  <si>
    <t>Przewody kabelkowe o łącznym przekroju żył do 7.5 mm2 układane p.t. w gotowych bruzdach w podłożu innym niż betonowe</t>
  </si>
  <si>
    <t>Przewody kabelkowe o łącznym przekroju żył do 7.5 mm2 układane p.t. w gotowych bruzdach w podłożu innym niż betonowe - YDYżo 5x1,5mm2; 750 V</t>
  </si>
  <si>
    <t>INSTALACJE GNIAZD</t>
  </si>
  <si>
    <t>KNNR 5 0308-01</t>
  </si>
  <si>
    <t>Gniazda instalacyjne wtyczkowe ze stykiem ochronnym podtynkowe 2-biegunowe końcowe o obciążalności do 10 A i przekroju przewodów do 2.5 mm2</t>
  </si>
  <si>
    <t>2.4</t>
  </si>
  <si>
    <t>2.5</t>
  </si>
  <si>
    <t>2.6</t>
  </si>
  <si>
    <t>2.7</t>
  </si>
  <si>
    <t>Dostawa ramek 2 krotnych</t>
  </si>
  <si>
    <t>2.8</t>
  </si>
  <si>
    <t>2.9</t>
  </si>
  <si>
    <t>KNNR 5 1206-01</t>
  </si>
  <si>
    <t>Podłączanie silników w obudowie specjalnej - przewód lub kabel 3-żyłowy Cu o przekroju żyły do 6 mm2 - wentylatory</t>
  </si>
  <si>
    <t>2.10</t>
  </si>
  <si>
    <t>2.11</t>
  </si>
  <si>
    <t>ZASILANIE POZOSTAŁYCH ODBIORÓW</t>
  </si>
  <si>
    <t>3.4</t>
  </si>
  <si>
    <t>KNNR 5 1207-05</t>
  </si>
  <si>
    <t>Wykucie bruzd dla rur RKLG18, RS22 w cegle</t>
  </si>
  <si>
    <t>3.5</t>
  </si>
  <si>
    <t>KNNR 5 0205-03</t>
  </si>
  <si>
    <t>Przewody kabelkowe o łącznym przekroju żył do 30 mm2 układane p.t. w gotowych bruzdach w podłożu innym niż betonowe -  YDY 5x4 mm2; 750 V</t>
  </si>
  <si>
    <t>3.6</t>
  </si>
  <si>
    <t>KNNR 5 0103-03</t>
  </si>
  <si>
    <t>Rury winidurowe o śr.do 37 mm układane n.t. na betonie - Fotowoltaika</t>
  </si>
  <si>
    <t>3.7</t>
  </si>
  <si>
    <t>KNNR 5 0111-02</t>
  </si>
  <si>
    <t>Kanał instalacyjny z PCW o szerokości podstawy do 60 mm - podłoże inne niż betonowe - Fotowoltaika</t>
  </si>
  <si>
    <t>3.8</t>
  </si>
  <si>
    <t>INSTALACJE UZIEMIEŃ OCHRONNYCH I POŁĄCZEŃ WYRÓWNAWCZYCH</t>
  </si>
  <si>
    <t>KNNR-W 9 0607-01</t>
  </si>
  <si>
    <t>Szyna wyrównania potencjałów (główna szyna uziemiająca)</t>
  </si>
  <si>
    <t>Zacisk uziemiający ZL, wyrównania potencjałów</t>
  </si>
  <si>
    <t>4.4</t>
  </si>
  <si>
    <t>4.5</t>
  </si>
  <si>
    <t>KNNR 5 0613-02</t>
  </si>
  <si>
    <t>Uchwyty uziemiające skręcane na rurach o śr.do 100 mm</t>
  </si>
  <si>
    <t>4.6</t>
  </si>
  <si>
    <t>KNNR 5 0602-02</t>
  </si>
  <si>
    <t>Przewody uziemiające Fe/Zn 30x4mm w budynkach mocowane na wspornikach ściennych na podłożu innym niż drewno</t>
  </si>
  <si>
    <t>4.7</t>
  </si>
  <si>
    <t>4.8</t>
  </si>
  <si>
    <t>Przewody kabelkowe o łącznym przekroju żył do 30 mm2 układane p.t. w gotowych bruzdach w podłożu innym niż betonowe - LYżo 1x16 mm2; 750 V</t>
  </si>
  <si>
    <t>4.9</t>
  </si>
  <si>
    <t>KNNR 5 0205-02</t>
  </si>
  <si>
    <t>Przewody kabelkowe o łącznym przekroju żył do 12.5 mm2 układane p.t. w gotowych bruzdach w podłożu innym niż betonowe -  LYżo 6mm2</t>
  </si>
  <si>
    <t>TABLICE ROZDZIELCZE OGÓLNE</t>
  </si>
  <si>
    <t>Przeciwpożarowe wyłączniki prądu</t>
  </si>
  <si>
    <t>5.1.1</t>
  </si>
  <si>
    <t>Wyłączniki pożarowe p/t PWP</t>
  </si>
  <si>
    <t>Zasilanie  Tablica  T1-T2</t>
  </si>
  <si>
    <t>5.2.1</t>
  </si>
  <si>
    <t>KNNR 5 1207-15</t>
  </si>
  <si>
    <t>Wykucie bruzd dla rur RS47 w cegle</t>
  </si>
  <si>
    <t>5.2.2</t>
  </si>
  <si>
    <t>KNNR 5 0715-03</t>
  </si>
  <si>
    <t>Układanie kabli  YKY 5x16mm2, 1kV  w budynkach, budowlach lub na estakadach z mocowaniem</t>
  </si>
  <si>
    <t>5.2.3</t>
  </si>
  <si>
    <t>KNNR 5 0726-09 analogia</t>
  </si>
  <si>
    <t>Zarobienie na sucho końca kabla 5-żyłowego o przekroju żył do 16 mm2 na napięcie do 1 kV o izolacji i powłoce z tworzyw sztucznych</t>
  </si>
  <si>
    <t>5.2.4</t>
  </si>
  <si>
    <t>5.2.5</t>
  </si>
  <si>
    <t>Przewody kabelkowe o łącznym przekroju żył do 30 mm2 układane p.t. w gotowych bruzdach w podłożu innym niż betonowe -  YDY 5x6 mm2; 750 V</t>
  </si>
  <si>
    <t>Tablica  T1-T2</t>
  </si>
  <si>
    <t>5.3.1</t>
  </si>
  <si>
    <t>KNNR 3 0304-01</t>
  </si>
  <si>
    <t>Wykucie wnęk w ścianach z cegły na zaprawie wapiennej i cementowo-wapiennej z ich otynkowaniem dla rozdzielnic j.n.</t>
  </si>
  <si>
    <t>5.3.2</t>
  </si>
  <si>
    <t>KNNR 5 0404-04</t>
  </si>
  <si>
    <t>Tablice rozdzielcze o masie do 50 kg - dostawa i montaż</t>
  </si>
  <si>
    <t>5.3.3</t>
  </si>
  <si>
    <t>5.3.4</t>
  </si>
  <si>
    <t>KNP 18 D13 1301-01</t>
  </si>
  <si>
    <t>Pomiary rozdzielnic prądu zmiennego lub stałego niskiego napięcia do 5 pól</t>
  </si>
  <si>
    <t>INSTALACJE TELEINFORMATYCZNE, RTV</t>
  </si>
  <si>
    <t>KNR AT-14 0107-01</t>
  </si>
  <si>
    <t>Montaż gniazd RJ45 w gnieździe abonenckim lub panelu</t>
  </si>
  <si>
    <t>KNR AT-14 0107-07</t>
  </si>
  <si>
    <t>Montaż gniazd RJ45 w gnieździe abonenckim lub panelu - dodatek za montaż gniazda RJ45 w wersji podtynkowej z podłączeniem modułu</t>
  </si>
  <si>
    <t>KNR AT-14 0110-13</t>
  </si>
  <si>
    <t>KNNR 5 0406-03</t>
  </si>
  <si>
    <t>Aparaty elektryczne o masie do 10 kg</t>
  </si>
  <si>
    <t>kalk. własna</t>
  </si>
  <si>
    <t>KNNR 5 1207-12</t>
  </si>
  <si>
    <t>Wykucie bruzd dla rur RKLG28, RS37 w cegle</t>
  </si>
  <si>
    <t>KNNR 5 0102-08</t>
  </si>
  <si>
    <t>Rury winidurowe karbowane (giętkie) o śr.do 36 mm układane p.t. w gotowych bruzdach w podłożu innym niż beton</t>
  </si>
  <si>
    <t>KNNR 5 0203-01</t>
  </si>
  <si>
    <t>Przewody kabelkowe o łącznym przekroju żył do 7.5 mm2 wciągane do rur</t>
  </si>
  <si>
    <t>6.12</t>
  </si>
  <si>
    <t>KNR 5-06 0709-04 analogia</t>
  </si>
  <si>
    <t>Zarabianie i podłączanie kabli do gniazd światłowodowych</t>
  </si>
  <si>
    <t>6.13</t>
  </si>
  <si>
    <t>KNR AT-14 0111-01 analogia</t>
  </si>
  <si>
    <t>Wykonanie pomiarów torów transmisyjnych zgodnie z wymaganiami Krotność = 4</t>
  </si>
  <si>
    <t>pomiar</t>
  </si>
  <si>
    <t>6.14</t>
  </si>
  <si>
    <t>6.15</t>
  </si>
  <si>
    <t>KNR AT-14 0102-01</t>
  </si>
  <si>
    <t>Układanie poziomego okablowania strukturalnego - odcinek poziomy, kabel miedziany</t>
  </si>
  <si>
    <t>6.16</t>
  </si>
  <si>
    <t>6.17</t>
  </si>
  <si>
    <t>KNNR 5 0204-05</t>
  </si>
  <si>
    <t>Przewody kabelkowe płaskie o łącznym przekroju żył do 7.5 mm2 układane w tynku innym niż betonowy</t>
  </si>
  <si>
    <t>6.18</t>
  </si>
  <si>
    <t>KNR AT-14 0111-01</t>
  </si>
  <si>
    <t>Wykonanie pomiarów torów transmisyjnych zgodnie z wymaganiami</t>
  </si>
  <si>
    <t>INSTALACJE TELEFONICZNE</t>
  </si>
  <si>
    <t>KNR 5-06 1710-01 analogia</t>
  </si>
  <si>
    <t>KNNR 5 0101-05</t>
  </si>
  <si>
    <t>Rury winidurowe o śr.do 20 mm układane p.t. w gotowych bruzdach w podłożu innym niż beton - RB-18</t>
  </si>
  <si>
    <t>KNR 5-06 0702-05 analogia</t>
  </si>
  <si>
    <t>Zarabianie i podłączanie końców kabli i przewodów stacyjnych bez ekranu o 7 żyłach o średnicy do 0.9 mm pod zaciski</t>
  </si>
  <si>
    <t>końc.</t>
  </si>
  <si>
    <t>KNR 5-01 0818-02 analogia</t>
  </si>
  <si>
    <t>Rozszycie kabli zakończeniowych o 20 parach na ochronnikach krosowych,łączówkach i gniezdnikach na przełącznicy</t>
  </si>
  <si>
    <t>kon.kabl.</t>
  </si>
  <si>
    <t>KNR 5-01 1310-01/02 analogia</t>
  </si>
  <si>
    <t>Pomiary końcowe prądem stałym kabla o 16 parach - interpolacja</t>
  </si>
  <si>
    <t>odc.</t>
  </si>
  <si>
    <t>INSTALACJE CCTV</t>
  </si>
  <si>
    <t>KNR AL-01 0501-01</t>
  </si>
  <si>
    <t>Montaż elementów systemu telewizji użytkowej - kamera TVU wewnętrzna</t>
  </si>
  <si>
    <t>KNR AL-01 0501-02</t>
  </si>
  <si>
    <t>Montaż elementów systemu telewizji użytkowej - kamera TVU zewnętrzna</t>
  </si>
  <si>
    <t>KNR AL-01 0501-03</t>
  </si>
  <si>
    <t>Montaż elementów systemu telewizji użytkowej - monitor TVU</t>
  </si>
  <si>
    <t>KNR AL-01 0503-04</t>
  </si>
  <si>
    <t>Montaż elementów systemu telewizji użytkowej - urządzenie do cyfrowego zapisu obrazu</t>
  </si>
  <si>
    <t>KNR AL-01 0701-03</t>
  </si>
  <si>
    <t>Montaż dodatkowej karty funkcyjnej lub użytkowej do zestawu PC</t>
  </si>
  <si>
    <t>KNR AL-01 0506-01</t>
  </si>
  <si>
    <t>Uruchomienie systemu TVU - linia transmisji wizji</t>
  </si>
  <si>
    <t>linia</t>
  </si>
  <si>
    <t>INSTALACJA ODDYMIANIA</t>
  </si>
  <si>
    <t>KNR AL-01 0102-03</t>
  </si>
  <si>
    <t>Montaż centralki oddymiania dwustrefowa</t>
  </si>
  <si>
    <t>KNR AL-01 0103-01</t>
  </si>
  <si>
    <t>Montaż dodatkowej karty funkcyjnej centrali alarmowej - Moduł kolejności włączania.</t>
  </si>
  <si>
    <t>KNR AL-01 0109-01</t>
  </si>
  <si>
    <t>Montaż akumulatora bezobsługowego o poj.  12V/3,6 Ah</t>
  </si>
  <si>
    <t>KNR AL-01 0206-06</t>
  </si>
  <si>
    <t>Montaż czujki specjalnej - zalania wodą - czujki wiatrowo-deszczowej</t>
  </si>
  <si>
    <t>KNR 7-08 0301-01 analogia</t>
  </si>
  <si>
    <t>Układy sterowania elektrycznego zespołem siłownik-układ kinematyczny-zawór regulacyjny</t>
  </si>
  <si>
    <t>ukl.</t>
  </si>
  <si>
    <t>Układy sterowania elektrycznego zespołem siłownik-układ kinematyczny-zawór regulacyjny - Napęd drzwiowy 24V, siła: 500N/wysuw.:500mm/1,0A + Konsola dla punktu obrotu</t>
  </si>
  <si>
    <t>KNR AL-01 0402-01</t>
  </si>
  <si>
    <t>Montaż przycisków oddymiania  z szybką i kluczem (polski)</t>
  </si>
  <si>
    <t>KNR AL-01 0401-01</t>
  </si>
  <si>
    <t>Montaż czujek pożarowych - Czujka dymowa</t>
  </si>
  <si>
    <t>KNR AL-01 0111-03</t>
  </si>
  <si>
    <t>Montaż elektromechanicznych elementów obsługowych - Rygiel elektromagnetyczny 12V</t>
  </si>
  <si>
    <t>Montaż elektromechanicznych elementów obsługowych</t>
  </si>
  <si>
    <t>Przewody kabelkowe o łącznym przekroju żył do 7.5 mm2 wciągane do rur  Przewód HDGs 300/500V 3x1,5mm2</t>
  </si>
  <si>
    <t>Przewody kabelkowe o łącznym przekroju żył do 7.5 mm2 wciągane do rur  kabel teletechn. YnTKSY 3x2x0,8mm</t>
  </si>
  <si>
    <t>Przewody kabelkowe o łącznym przekroju żył do 7.5 mm2 wciągane do rur.</t>
  </si>
  <si>
    <t>KNNR 5 1207-04</t>
  </si>
  <si>
    <t>Wykucie bruzd dla przewodów w tynku</t>
  </si>
  <si>
    <t>9.19</t>
  </si>
  <si>
    <t>9.20</t>
  </si>
  <si>
    <t>KNNR 5 1206-07</t>
  </si>
  <si>
    <t>Podłączanie silników w obudowie specjalnej - przewód lub kabel  4-żyłowy Cu o przekroju żyły do 6 mm2 - siłowniki, napedy, osprzęt</t>
  </si>
  <si>
    <t>9.21</t>
  </si>
  <si>
    <t>KNR AL-01 0603-01</t>
  </si>
  <si>
    <t>Uruchomienie i pomiary linii dozorowych adresowych - do 2 adresów</t>
  </si>
  <si>
    <t>adres</t>
  </si>
  <si>
    <t>INSTALACJA SYGNALIZACJI WŁAMANIA</t>
  </si>
  <si>
    <t>KNR AL-01 0101-04</t>
  </si>
  <si>
    <t>Montaż kompaktowej centrali alarmowej do 32 linii dozorowych</t>
  </si>
  <si>
    <t>KNR AL-01 0103-02</t>
  </si>
  <si>
    <t>Montaż dodatkowej karty funkcyjnej centrali alarmowej - karta (grupowa) konwencjonalna do 8 linii</t>
  </si>
  <si>
    <t>KNR AL-01 0109-02</t>
  </si>
  <si>
    <t>Montaż akumulatora bezobsługowego o poj. do 130 Ah</t>
  </si>
  <si>
    <t>KNR AL-01 0112-01</t>
  </si>
  <si>
    <t>Montaż zasilacza</t>
  </si>
  <si>
    <t>KNR AL-01 0108-04</t>
  </si>
  <si>
    <t>Montaż sygnalizatora optyczno- akustycznego zewnętrznego bez zasilania awaryjmego</t>
  </si>
  <si>
    <t>KNR AL-01 0201-01</t>
  </si>
  <si>
    <t>Montaż czujki ruchu- pasywna podczerwieni</t>
  </si>
  <si>
    <t>10.7</t>
  </si>
  <si>
    <t>KNR AL-01 0208-01</t>
  </si>
  <si>
    <t>Montaż elementów obsługowych - klawiatura szyfrowa</t>
  </si>
  <si>
    <t>10.8</t>
  </si>
  <si>
    <t>10.9</t>
  </si>
  <si>
    <t>10.10</t>
  </si>
  <si>
    <t>Przewody kabelkowe o łącznym przekroju żył do 7.5 mm2 układane p.t. w gotowych bruzdach w podłożu innym niż betonowe   Przewód miedziany w izolacji i powłoce polwinitowej 750V YDYżo 3x1,5mm2</t>
  </si>
  <si>
    <t>10.11</t>
  </si>
  <si>
    <t>KNR AL-01 0601-01</t>
  </si>
  <si>
    <t>Przygotowanie i testowanie oprogramowania systemu alarmowego - do 25 kroków programowych (instrukcji)</t>
  </si>
  <si>
    <t>system</t>
  </si>
  <si>
    <t>10.12</t>
  </si>
  <si>
    <t>KNR AL-01 0602-06</t>
  </si>
  <si>
    <t>Sprawdzenie i uruchomienie linii dozorowych konwencjonalnych do 32 elementów liniowych</t>
  </si>
  <si>
    <t>10.13</t>
  </si>
  <si>
    <t>KNR AL-01 0604-01</t>
  </si>
  <si>
    <t>Praca próbna i testowanie systemu alarmowego do 24 elementów liniowych</t>
  </si>
  <si>
    <t>INSTALACJA ODGROMOWA</t>
  </si>
  <si>
    <t>KNNR 5 0719-02</t>
  </si>
  <si>
    <t>Ręczne rozebranie nawierzchni chodników z brukowca o grubości 16-20 cm</t>
  </si>
  <si>
    <t>KNNR 5 0605-05</t>
  </si>
  <si>
    <t>Montaż uziomów poziomych w wykopie o głębokości do 0.8 m; kat.gruntu III</t>
  </si>
  <si>
    <t>KNNR 5 0611-01</t>
  </si>
  <si>
    <t>Łączenie przewodów instalacji odgromowej lub przewodów wyrównawczych z bednarki o przekroju do 120 mm2 w wykopie</t>
  </si>
  <si>
    <t>KNNR 5 0705-01</t>
  </si>
  <si>
    <t>Ułożenie rur osłonowych z PCW o śr.do 140 mm - FI-75</t>
  </si>
  <si>
    <t>KNNR 5 0720-09</t>
  </si>
  <si>
    <t>Nawierzchnie po robotach kablowych na chodnikach, wjazdach, placach z betonowej kostki brukowe o grubości 8 cm na podsypce cementowo-piaskowej - 100% z demontażu</t>
  </si>
  <si>
    <t>KNNR 5 1207-09</t>
  </si>
  <si>
    <t>Wykucie bruzd dla rur RKLG21, RS28 w cegle</t>
  </si>
  <si>
    <t>KNNR 5 0101-01 analogia</t>
  </si>
  <si>
    <t>Rurka odgromowa o podwyższonej odporności ogniowej 20/14 mm  układana p.t. w gotowych bruzdach</t>
  </si>
  <si>
    <t>KNNR 5 0201-06</t>
  </si>
  <si>
    <t>Druty ocynkow. śr. 10 mm wciągane do rur</t>
  </si>
  <si>
    <t>KNNR 5 0601-02</t>
  </si>
  <si>
    <t>Przewody instalacji odgromowej nienaprężane poziome mocowane na wspornikach klejonych - druty stalowe ocynkowane śr.8mm</t>
  </si>
  <si>
    <t>KNNR 5 0601-01</t>
  </si>
  <si>
    <t>Przewody instalacji odgromowej nienaprężane poziome mocowane na wspornikach obsadzanych o wys. min 14 cm</t>
  </si>
  <si>
    <t>KNNR 5 0612-01</t>
  </si>
  <si>
    <t>Złącza w instalacji odgromowej  montowane na dachu - złącza uniwersalne krzyżowe</t>
  </si>
  <si>
    <t>KNR 5-08 0401-10</t>
  </si>
  <si>
    <t>Przygotowanie podłoża do zabudowania aparatów - kucie mechan. pod kołki rozp.plast.w podł. z betonu - aparat o 3-4 otworach mocujących</t>
  </si>
  <si>
    <t>aparat</t>
  </si>
  <si>
    <t>KNR 5-08 0622-05</t>
  </si>
  <si>
    <t>Montaż typowych iglic - Iglica odgromowa  H=3000mm z podstawą</t>
  </si>
  <si>
    <t>KNNR 5 0301-03</t>
  </si>
  <si>
    <t>Przygotowanie podłoża pod osprzęt instalacyjny mocowany przez przykręcenie do kołków plastykowych osadzonych w podłożu betonowym</t>
  </si>
  <si>
    <t>KNNR 5 0304-03</t>
  </si>
  <si>
    <t>Skrzynka probiercza 150x150x100  przykręcana</t>
  </si>
  <si>
    <t>KNNR 5 0612-06</t>
  </si>
  <si>
    <t>Złącza kontrolne w instalacji odgromowej  - połączenie pręt-płaskownik</t>
  </si>
  <si>
    <t>Złącza do rynny okapowej w instalacji odgromowej montowane na dachu</t>
  </si>
  <si>
    <t>DEMONTAŻE</t>
  </si>
  <si>
    <t>Demontaż istniejącej instalacji elektrycznej.</t>
  </si>
  <si>
    <t>r-g</t>
  </si>
  <si>
    <t>KNNR 9 0501-06</t>
  </si>
  <si>
    <t>Demontaż opraw oświetleniowych świetlówkowych z kloszem</t>
  </si>
  <si>
    <t>KNNR 9 0501-05</t>
  </si>
  <si>
    <t>Demontaż opraw oświetleniowych żarowych i halogenowych</t>
  </si>
  <si>
    <t>KNR 4-04 1107-01</t>
  </si>
  <si>
    <t>Transport złomu samochodem skrzyniowym z załadunkiem i wyładunkiem ręcznym na odl. do 1 km</t>
  </si>
  <si>
    <t>KNR 4-04 1107-04</t>
  </si>
  <si>
    <t>Transport złomu samochodem skrzyniowym - dodatek za każdy rozpoczęty km ponad 1 km -  do 6km Krotność = 5</t>
  </si>
  <si>
    <t>PRZEBICIA ŚCIAN I STROPÓW, TYNKOWANIE BRUZD</t>
  </si>
  <si>
    <t>KNNR 5 1209-11,02</t>
  </si>
  <si>
    <t>Przebijanie otworów śr. 40 o długości do 30 cm w ścianach lub stropach z betonu</t>
  </si>
  <si>
    <t>KNR 4-03 1003-22</t>
  </si>
  <si>
    <t>Mechaniczne przebijanie otworów w ścianach lub stropach z cegły o długości przebicia do 2 1/2 ceg. - śr. rury do 40 mm</t>
  </si>
  <si>
    <t>KNNR 5 1209-06,01</t>
  </si>
  <si>
    <t>Przebijanie otworów śr. 25mm o długości do 1 1/2 ceg. w ścianach lub stropach z cegły</t>
  </si>
  <si>
    <t>KNNR 5 1209-04,01</t>
  </si>
  <si>
    <t>Przebijanie otworów śr. 25mm o długości do 1/2 ceg. w ścianach lub stropach z cegły</t>
  </si>
  <si>
    <t>KNNR 5 1209-05,01</t>
  </si>
  <si>
    <t>Przebijanie otworów śr. 25mm o długości do 1 ceg. w ścianach lub stropach z cegły</t>
  </si>
  <si>
    <t>KNNR 5 1208-05</t>
  </si>
  <si>
    <t>Zaprawianie bruzd - ręczne przygotowanie zaprawy cementowo-wapiennej</t>
  </si>
  <si>
    <t>KNNR 5 1208-02</t>
  </si>
  <si>
    <t>Zaprawianie bruzd o szerokości do 50 mm</t>
  </si>
  <si>
    <t>KNR 4-01 0706-02 analogia</t>
  </si>
  <si>
    <t>Wykon. uszczelnień tynku zwyk.kat.III ognioodporną masą uszczelniaj.  w miejscach po zamurowanych przebiciach o pow. 1 miejsca do 0.10 m2 na ścianach</t>
  </si>
  <si>
    <t>PRACE KONTROLNO-POMIAROWE</t>
  </si>
  <si>
    <t>KNNR 5 1301-01</t>
  </si>
  <si>
    <t>Sprawdzenie i pomiar 1-fazowego obwodu elektrycznego niskiego napięcia</t>
  </si>
  <si>
    <t>KNNR 5 1301-02</t>
  </si>
  <si>
    <t>Sprawdzenie i pomiar 3-fazowego obwodu elektrycznego niskiego napięcia</t>
  </si>
  <si>
    <t>KNNR 5 1302-04</t>
  </si>
  <si>
    <t>Badanie linii kablowej N.N.- kabel 5-żyłowy</t>
  </si>
  <si>
    <t>KNNR 5 1305-01</t>
  </si>
  <si>
    <t>Sprawdzenie samoczynnego wyłączania zasilania (pierwsza próba)</t>
  </si>
  <si>
    <t>prób.</t>
  </si>
  <si>
    <t>KNNR 5 1305-02</t>
  </si>
  <si>
    <t>Sprawdzenie samoczynnego wyłączania zasilania (następna próba)</t>
  </si>
  <si>
    <t>KNNR 5 1304-01</t>
  </si>
  <si>
    <t>Badania i pomiary instalacji uziemiającej (pierwszy pomiar)</t>
  </si>
  <si>
    <t>KNNR 5 1304-02</t>
  </si>
  <si>
    <t>Badania i pomiary instalacji uziemiającej (każdy następny pomiar)</t>
  </si>
  <si>
    <t>KNNR 5 1304-03</t>
  </si>
  <si>
    <t>Badania i pomiary instalacji piorunochronnej (pierwszy pomiar)</t>
  </si>
  <si>
    <t>KNNR 5 1304-04</t>
  </si>
  <si>
    <t>Badania i pomiary instalacji piorunochronnej (każdy następny pomiar)</t>
  </si>
  <si>
    <t>KNR 13-21 0301-03</t>
  </si>
  <si>
    <t>Pomiary natężenia oświetlenia - pierwszy komplet 5 pomiarów dokonywanych na stanowisku</t>
  </si>
  <si>
    <t>kpl.pom.</t>
  </si>
  <si>
    <t>Razem roboty przebudowy netto</t>
  </si>
  <si>
    <t>podatek VAT</t>
  </si>
  <si>
    <t>Razem roboty przebudowy brutto</t>
  </si>
  <si>
    <t>KNR 4-01 0354-08</t>
  </si>
  <si>
    <t xml:space="preserve">Demontaż drzwi stalowych </t>
  </si>
  <si>
    <t>AT-31 0101-05</t>
  </si>
  <si>
    <t>Dodatkowa warstwa siatki w strefie cokołowej</t>
  </si>
  <si>
    <t>KNR 4-01 0701-05</t>
  </si>
  <si>
    <t>Odbicie tynków wewnętrznych z zaprawy cementowo-wapiennej na ścianach, filarach, pilastrach o powierzchni odbicia ponad 5 m2</t>
  </si>
  <si>
    <t>kalkulacja indywidualna</t>
  </si>
  <si>
    <t>KNR 9-19 0101-01</t>
  </si>
  <si>
    <t>doba</t>
  </si>
  <si>
    <t>KNR 4-01 0621-01</t>
  </si>
  <si>
    <t xml:space="preserve">Odgrzybianie dwukrotne ścian ceglanych metodą smarowania </t>
  </si>
  <si>
    <t>Usunięcie z piwnic budynku gruzu i ziemi</t>
  </si>
  <si>
    <t>KNR 4-01 0106-02</t>
  </si>
  <si>
    <t>Wykopy wykonywane wewnątrz budynku - wykop pod szyb windowy</t>
  </si>
  <si>
    <t>2.2.9</t>
  </si>
  <si>
    <t>2.2.11</t>
  </si>
  <si>
    <t>2.2.12</t>
  </si>
  <si>
    <t>KNR 4-01 0819-15</t>
  </si>
  <si>
    <t>Rozebranie wykładziny ściennej z płytek</t>
  </si>
  <si>
    <t>Demontaż klapy stalowej 0,95x0,95cm</t>
  </si>
  <si>
    <t>Podkłady z ubitych materiałów sypkich - zasypanie otworu w posadzce piaskiem</t>
  </si>
  <si>
    <t>Uzupełnienie posadzki betonowej</t>
  </si>
  <si>
    <t>KNNR 3 0405-02</t>
  </si>
  <si>
    <t>KNNR 2 1201-03</t>
  </si>
  <si>
    <t>Osuszanie pomieszczeń przy użyciu osuszacza kondensacyjnego jednego pomieszczenia o kubaturze do 85m3 - 8 pomieszczeń</t>
  </si>
  <si>
    <t xml:space="preserve">KNR 4-01 0304-01 </t>
  </si>
  <si>
    <t>KNR 4-01 0709-05 analogia</t>
  </si>
  <si>
    <t>Uzupełnienie ubytków tynków na narożach</t>
  </si>
  <si>
    <t>4.2.19</t>
  </si>
  <si>
    <t>2.3.5</t>
  </si>
  <si>
    <t>2.3.6</t>
  </si>
  <si>
    <t>2.3.7</t>
  </si>
  <si>
    <t>Skucie posadzki - lastryko</t>
  </si>
  <si>
    <t>KNR 4-01 0818-05</t>
  </si>
  <si>
    <t>Zerwanie posadzek z tworzyw sztucznych oraz wykładzin dywanowych</t>
  </si>
  <si>
    <t>KNR 4-01 0811-07</t>
  </si>
  <si>
    <t>Rozebranie posadzki z płytek ceramicznych</t>
  </si>
  <si>
    <t>Rozebranie okładziny ściennej z płytek</t>
  </si>
  <si>
    <t>Odbicie tynków zewnętrznych</t>
  </si>
  <si>
    <t xml:space="preserve">Przygotowanie podłoża pod wykonanie okładzin ściennych - jednokrotne gruntowanie podłoża pod kleje </t>
  </si>
  <si>
    <t>Gładzie na płytach gipsowo-kartonowych</t>
  </si>
  <si>
    <t>KNR 2-02 0815-02</t>
  </si>
  <si>
    <t>Ścianki działowe z płyt gipsowo-kartonowych gr. 12 cm, pokrycie dwustronne, jednowarstwowe płyty wodoodporne</t>
  </si>
  <si>
    <t>Ścianki działowe z płyt gipsowo-kartonowych REI 60 gr. 28 cm, pokrycie jednostronne, jednowarstwowe - obudowa konstrukcji stalowych</t>
  </si>
  <si>
    <t>KNR AT-12 0102</t>
  </si>
  <si>
    <t xml:space="preserve">Przygotowanie podłoża pod wykonanie okładzin podłogowych - jednokrotne gruntowanie podłoża </t>
  </si>
  <si>
    <t xml:space="preserve">Okładziny podłogowe z płytek z kamieni sztucznych o regularnych kształtach na zaprawie klejowej cienkowarstwowej - schody </t>
  </si>
  <si>
    <t>KNR AT-23 0310</t>
  </si>
  <si>
    <t>Cokoliki przyścienne z kształtek cokołowych o wysokości 10 cm na zaprawie cienkowarstwowej - schody</t>
  </si>
  <si>
    <t>Ściany budynków jednokondygnacyjnych o wys. do 4,5 m i gr. 25 cm z pustaków ceramicznych</t>
  </si>
  <si>
    <t>4.2.20</t>
  </si>
  <si>
    <t>Ręczne rozebranie podbudowy z kruszywa kamiennego o grubości 15 cm</t>
  </si>
  <si>
    <t>KNR 2-31 0802-05</t>
  </si>
  <si>
    <t>KNR 4-01 0104-02</t>
  </si>
  <si>
    <t>Wykopy o ścianach pionowych, przy odkrywaniu odcinkami istniejących fundamentów w gruncie kat. III</t>
  </si>
  <si>
    <t>Przymocowanie  do ściany płyt z wełny mineralnej za pomocą łączników PCV z trzpieniem stalowym</t>
  </si>
  <si>
    <t>KNR AT-31 0704-02</t>
  </si>
  <si>
    <t>Przymocowanie  do ściany płyt styropianowych za pomocą łączników PCV z trzpieniem stalowym</t>
  </si>
  <si>
    <t>Przymocowanie płyt styropianowych za pomocą łączników PCV z trzpieniem stalowym</t>
  </si>
  <si>
    <t>Wykonanie warstwy zbrojonej na stropie</t>
  </si>
  <si>
    <t>Tynk elewacyjny cienkowarstwowy silikonowo - silikatowy wykonany ręcznie; warstwa pośrednia na stropie</t>
  </si>
  <si>
    <t>Przyklejanie płyt styropianowych gr. 22 cm na stropie</t>
  </si>
  <si>
    <t>4.1.3</t>
  </si>
  <si>
    <t>2.2.13</t>
  </si>
  <si>
    <t>2.2.14</t>
  </si>
  <si>
    <t>Przestawienie ogrodzenia systemowego</t>
  </si>
  <si>
    <t>Osłona śmietnikowa</t>
  </si>
  <si>
    <t>Nawierzchnie z betonowych płyt ażurowych z wypełnieniem z trawy</t>
  </si>
  <si>
    <t>6.19</t>
  </si>
  <si>
    <t>6.20</t>
  </si>
  <si>
    <t>1.1.11</t>
  </si>
  <si>
    <t>1.1.12</t>
  </si>
  <si>
    <t>1.1.13</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</si>
  <si>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</si>
  <si>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</si>
  <si>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</si>
  <si>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</si>
  <si>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</si>
  <si>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</si>
  <si>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</si>
  <si>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</si>
  <si>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</si>
  <si>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</si>
  <si>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</si>
  <si>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</si>
  <si>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</si>
  <si>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</si>
  <si>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</si>
  <si>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</si>
  <si>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</si>
  <si>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</si>
  <si>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</si>
  <si>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</si>
  <si>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</si>
  <si>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</si>
  <si>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</si>
  <si>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</si>
  <si>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</si>
  <si>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</si>
  <si>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</si>
  <si>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</si>
  <si>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</si>
  <si>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</si>
  <si>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</si>
  <si>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</si>
  <si>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</si>
  <si>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</si>
  <si>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</si>
  <si>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</si>
  <si>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</si>
  <si>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</si>
  <si>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</si>
  <si>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</si>
  <si>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</si>
  <si>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</si>
  <si>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</si>
  <si>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2.3.8</t>
  </si>
  <si>
    <t>2.3.9</t>
  </si>
  <si>
    <t>2.3.10</t>
  </si>
  <si>
    <t>2.3.11</t>
  </si>
  <si>
    <t>2.3.12</t>
  </si>
  <si>
    <t>2.3.13</t>
  </si>
  <si>
    <t>2.3.14</t>
  </si>
  <si>
    <t>2.3.15</t>
  </si>
  <si>
    <t>2.3.16</t>
  </si>
  <si>
    <t>2.3.17</t>
  </si>
  <si>
    <t>2.3.18</t>
  </si>
  <si>
    <t>2.3.19</t>
  </si>
  <si>
    <t>2.3.20</t>
  </si>
  <si>
    <t>2.3.21</t>
  </si>
  <si>
    <t>2.3.22</t>
  </si>
  <si>
    <t>4.10</t>
  </si>
  <si>
    <t>4.11</t>
  </si>
  <si>
    <t>4.12</t>
  </si>
  <si>
    <t>4.13</t>
  </si>
  <si>
    <t>4.14</t>
  </si>
  <si>
    <t>4.15</t>
  </si>
  <si>
    <t>4.16</t>
  </si>
  <si>
    <t>4.17</t>
  </si>
  <si>
    <t>4.18</t>
  </si>
  <si>
    <t>4.19</t>
  </si>
  <si>
    <t>4.20</t>
  </si>
  <si>
    <r>
      <t xml:space="preserve">STOLARKA OKIENNA o wsp. przenikania ciepła </t>
    </r>
    <r>
      <rPr>
        <b/>
        <sz val="10"/>
        <color theme="1"/>
        <rFont val="Calibri"/>
        <family val="2"/>
        <charset val="238"/>
      </rPr>
      <t>≤ 0,9 W/m2K</t>
    </r>
  </si>
  <si>
    <t>STOLARKA DRZWIOWA o wsp. przenikania ciepła max 1,3 W/m2K</t>
  </si>
  <si>
    <r>
      <t xml:space="preserve">DOCIEPLENIE ŚCIAN NADZIEMIA - WEŁNA o wsp.  </t>
    </r>
    <r>
      <rPr>
        <b/>
        <sz val="10"/>
        <color theme="1"/>
        <rFont val="Calibri"/>
        <family val="2"/>
        <charset val="238"/>
      </rPr>
      <t>λ</t>
    </r>
    <r>
      <rPr>
        <b/>
        <sz val="11"/>
        <color theme="1"/>
        <rFont val="Calibri"/>
        <family val="2"/>
        <charset val="238"/>
      </rPr>
      <t>=0,040 W/m*K</t>
    </r>
  </si>
  <si>
    <t>DOCIEPLENIE ŚCIAN NADZIEMIA - STYROPIAN o wsp.  λ=0,040 W/m*K</t>
  </si>
  <si>
    <t>DOCIEPLENIE STROPU ŁĄCZNIKA - NAD PRZEJAZDEM - STYROPIAN o wsp.  λ=0,040 W/m*K</t>
  </si>
  <si>
    <t>FOTOWOLTAIKA</t>
  </si>
  <si>
    <t>Panele fotowoltaiczne</t>
  </si>
  <si>
    <t>Razem roboty termomodernizacyjne netto</t>
  </si>
  <si>
    <t>Razem roboty termomodernizacyjne brutto</t>
  </si>
  <si>
    <t>Czyszczenie i impregnacja posadzki lastrykowej</t>
  </si>
  <si>
    <t>Montaż projektorów oświetleniowych na ścianach budynków LED /ZW1/</t>
  </si>
  <si>
    <t>Montaż projektorów oświetleniowych na ścianach budynków LED /ZW2/</t>
  </si>
  <si>
    <t>Oprawa awaryjna LED /AW1/ - dostawa i montaż</t>
  </si>
  <si>
    <t>Oprawa awaryjna LED /AW2/ - dostawa i montaż</t>
  </si>
  <si>
    <t>Oprawa ewakuacyjna LED  /EW.1/ - dostawa i montaż</t>
  </si>
  <si>
    <t>Oprawa ewakuacyjna LED  /EW.3/ - dostawa i montaż</t>
  </si>
  <si>
    <t>Oprawa ewakuacyjna LED  /EW.2/ - dostawa i montaż</t>
  </si>
  <si>
    <t xml:space="preserve">DOCIEPLENIE STROPODACHU  - GRANULAT Z WEŁNY MINERALNEJ o wsp.  λ=0,039 W/m*K </t>
  </si>
  <si>
    <t>Rozbiórka elementów konstrukcji betonowych</t>
  </si>
  <si>
    <t>KNR 4-01 0203-05</t>
  </si>
  <si>
    <t>Uzupełnienie betonu w zbrojonych elementach</t>
  </si>
  <si>
    <t>KNR K-06 0301-08</t>
  </si>
  <si>
    <t>Uzupełnienie pokrycia dachu po robotach izolacyjnych dwuwarstwowe z papy termozgrzewalnej</t>
  </si>
  <si>
    <t>KNNR 3 0503-01</t>
  </si>
  <si>
    <t>Naprawa pokryć dachowych poprzez jednokrotne pokrycie papą zgrzewalną wierzchniego krycia, po wyrównaniu istniejącego pokrycia z papy</t>
  </si>
  <si>
    <t xml:space="preserve">Obróbki blacharskie z blachy powlekanej o szer.w rozwinięciu ponad 25 cm </t>
  </si>
  <si>
    <t>KNR K-05 0407-01</t>
  </si>
  <si>
    <t>Montaż kominków wentylacyjnych</t>
  </si>
  <si>
    <t>KNNR 1502-01</t>
  </si>
  <si>
    <t>Osłony z siatki na rusztowaniach zewnętrznych</t>
  </si>
  <si>
    <t>Uzupełnienie ścian lub zamurowanie otworów w ścianach na zaprawie cementowo-wapiennej cegłą ceramiczną pełną</t>
  </si>
  <si>
    <t>KNR AT-31 0703-01</t>
  </si>
  <si>
    <t>Montaż listwy początkowej</t>
  </si>
  <si>
    <t>Klapa oddymiająca 125x125  z funkcją wyłazu pow. czynna min. 1,04</t>
  </si>
  <si>
    <t>STOLARKA I ŚLUSARKA</t>
  </si>
  <si>
    <t>Wymiana balustrady schodowej</t>
  </si>
  <si>
    <t>KNR AT-31 0601-02</t>
  </si>
  <si>
    <t>Dwukrotne malowanie elewacji farbą silikonową wraz z gruntowaniem podłoża</t>
  </si>
  <si>
    <t>Tynk elewacyjny cienkowarstwowy silikonowo - silikatowy wykonywany ręcznie; warstwa pośrednia na ościeżach</t>
  </si>
  <si>
    <t>Tynk elewacyjny cienkowarstwowy silikonowo - silikatowy wykonywany ręcznie; warstwa pośrednia na ścianach</t>
  </si>
  <si>
    <t>Tynk elewacyjny cienkowarstwowy silikonowo - silikatowy wykonywany ręcznie na ścianach</t>
  </si>
  <si>
    <t>Tynk elewacyjny cienkowarstwowy silikonowo - silikatowy wykonywany ręcznie  ręcznie na ościeżach</t>
  </si>
  <si>
    <t>Tynk elewacyjny cienkowarstwowy silikonowo - silikatowy wykonywany ręcznie na ościeżach</t>
  </si>
  <si>
    <t>Tynk elewacyjny cienkowarstwowy silikonowo - silikatowy wykonywany ręcznie na stropie</t>
  </si>
  <si>
    <t>…..................................................</t>
  </si>
  <si>
    <t>podpis uprawnionego przedstawiciela Wykonawcy</t>
  </si>
  <si>
    <t>ZBIORCZE ZESTAWIENIE KOSZTÓW</t>
  </si>
  <si>
    <t>Roboty termomodernizacyjne</t>
  </si>
  <si>
    <t>Rodzaj robót</t>
  </si>
  <si>
    <t>kwota netto</t>
  </si>
  <si>
    <t>VAT</t>
  </si>
  <si>
    <t>kwota brutto</t>
  </si>
  <si>
    <t>Roboty santarne</t>
  </si>
  <si>
    <t>Roboty elektryczne</t>
  </si>
  <si>
    <t>RAZEM</t>
  </si>
  <si>
    <t>Zagospodarowanie terenu</t>
  </si>
  <si>
    <t>Razem całe zadanie:</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</si>
  <si>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</si>
  <si>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</si>
  <si>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</si>
  <si>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</si>
  <si>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</si>
  <si>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</si>
  <si>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</si>
  <si>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</si>
  <si>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</si>
  <si>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t>Do ZZK dołączam:</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</si>
  <si>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</si>
  <si>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</si>
  <si>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</si>
  <si>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</si>
  <si>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Uwagi:</t>
  </si>
  <si>
    <t xml:space="preserve">Ceny jednostkowe lub kwoty ryczałtowe Robót muszą obejmować: </t>
  </si>
  <si>
    <r>
      <t>-  </t>
    </r>
    <r>
      <rPr>
        <sz val="11"/>
        <color rgb="FF000000"/>
        <rFont val="Calibri"/>
        <family val="2"/>
        <charset val="238"/>
      </rPr>
      <t xml:space="preserve">robociznę bezpośrednią wraz z kosztami towarzyszącymi, </t>
    </r>
  </si>
  <si>
    <r>
      <t xml:space="preserve">-  </t>
    </r>
    <r>
      <rPr>
        <sz val="11"/>
        <color rgb="FF000000"/>
        <rFont val="Calibri"/>
        <family val="2"/>
        <charset val="238"/>
      </rPr>
      <t xml:space="preserve">wartość użytych materiałów wraz z kosztami zakupu, magazynowania, ewentualnych ubytków i transportu na teren budowy, </t>
    </r>
  </si>
  <si>
    <r>
      <t xml:space="preserve">-  </t>
    </r>
    <r>
      <rPr>
        <sz val="11"/>
        <color rgb="FF000000"/>
        <rFont val="Calibri"/>
        <family val="2"/>
        <charset val="238"/>
      </rPr>
      <t xml:space="preserve">wartość pracy sprzętu wraz z kosztami towarzyszącymi, </t>
    </r>
  </si>
  <si>
    <r>
      <t>-  </t>
    </r>
    <r>
      <rPr>
        <sz val="11"/>
        <color rgb="FF000000"/>
        <rFont val="Calibri"/>
        <family val="2"/>
        <charset val="238"/>
      </rPr>
      <t xml:space="preserve">koszty pośrednie, zysk kalkulacyjny i ryzyko, </t>
    </r>
  </si>
  <si>
    <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</si>
  <si>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</si>
  <si>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t>Nr sprawy: …...............................</t>
  </si>
  <si>
    <t>Roboty remontowe</t>
  </si>
  <si>
    <t>1.</t>
  </si>
  <si>
    <t>2.</t>
  </si>
  <si>
    <t>3.</t>
  </si>
  <si>
    <t>4.</t>
  </si>
  <si>
    <t>5.</t>
  </si>
  <si>
    <t>6.</t>
  </si>
  <si>
    <t>7.</t>
  </si>
  <si>
    <t>8.</t>
  </si>
  <si>
    <t>9.</t>
  </si>
  <si>
    <t>10.</t>
  </si>
  <si>
    <t>11.</t>
  </si>
  <si>
    <t>12.</t>
  </si>
  <si>
    <t>13.</t>
  </si>
  <si>
    <t>DEMONTAŻ LUKSFERÓW</t>
  </si>
  <si>
    <t>2.12</t>
  </si>
  <si>
    <t>2.13</t>
  </si>
  <si>
    <t>2.14</t>
  </si>
  <si>
    <t>5.11</t>
  </si>
  <si>
    <t>5.12</t>
  </si>
  <si>
    <t>5.13</t>
  </si>
  <si>
    <t>5.14</t>
  </si>
  <si>
    <t>5.15</t>
  </si>
  <si>
    <t>5.16</t>
  </si>
  <si>
    <t>5.17</t>
  </si>
  <si>
    <t>5.18</t>
  </si>
  <si>
    <t>5.19</t>
  </si>
  <si>
    <t>5.20</t>
  </si>
  <si>
    <t>5.21</t>
  </si>
  <si>
    <t>5.22</t>
  </si>
  <si>
    <t>5.23</t>
  </si>
  <si>
    <t>7.16</t>
  </si>
  <si>
    <t>7.17</t>
  </si>
  <si>
    <t>7.18</t>
  </si>
  <si>
    <t>7.19</t>
  </si>
  <si>
    <t>7.20</t>
  </si>
  <si>
    <t>7.21</t>
  </si>
  <si>
    <t>7.22</t>
  </si>
  <si>
    <t>7.23</t>
  </si>
  <si>
    <t>7.24</t>
  </si>
  <si>
    <t>7.25</t>
  </si>
  <si>
    <t>7.26</t>
  </si>
  <si>
    <t xml:space="preserve">Mechaniczne ścinanie drzew i karczowanie pni  (średnica 26-35cm) - zagospodarowanie drewna po wycince po stronie Wykonawcy </t>
  </si>
  <si>
    <t>KNR 2-31 0101-01 
KNR 2-31 0101-02</t>
  </si>
  <si>
    <t>Podbudowa z kruszywa łamanego - warstwa dolna o grubości po zagęszczeniu 25 cm</t>
  </si>
  <si>
    <t>KNR 2-31 0114-05
KNR 2-31 0114-06</t>
  </si>
  <si>
    <t>Podbudowa z kruszywa łamanego - warstwa górna o grubości po zagęszczeniu 15 cm</t>
  </si>
  <si>
    <t>KNR 2-31 0114-07
KNR 2-31 0114-08</t>
  </si>
  <si>
    <t>Mechaniczne wykonanie koryta na całej szerokości jezdni i chodników w gruncie kat. I-IV głębokości 48 cm</t>
  </si>
  <si>
    <t>KNR 2-02 0216-02
KNR 2-02 0216-05</t>
  </si>
  <si>
    <t>Żelbetowe płyty stropowe, grubości 20 cm płaskie - z zastosowaniem pompy do betonu - płyta nadszybia PN-1</t>
  </si>
  <si>
    <t>Żelbetowe płyty stropowe, grubości 8 cm płaskie lub na żebrach - z zastosowaniem pompy do betonu - płyta PłŻ-2, PłŻ-3</t>
  </si>
  <si>
    <t>Przygotowanie i montaż zbrojenia elementów budynków i budowli - pręty żebrowane - # 8,  #12</t>
  </si>
  <si>
    <t>Otwory w ścianach murowanych -ułożenie nadproży prefabrykowanych - nadproża prefabrykowane L-19 - 150 cm i 180cm</t>
  </si>
  <si>
    <t>Podkłady betonowe na podłożu gruntowym - pod ławy ŁF-1 i PF-1</t>
  </si>
  <si>
    <t>Wykonanie tynków wewnętrznych kat. III na siatce metalowej - otynkowanie belek WmS</t>
  </si>
  <si>
    <t>Wymiany i nadproża z belek stalowych skręcanych - WmS - zestawienie stali NR01 (rys. K01)</t>
  </si>
  <si>
    <t>Obetonowanie belek stalowych - WmS</t>
  </si>
  <si>
    <t>Wzmocnienia WzmS - konstrukcja stalowa (belki i słupy stalowe) - zestawienie stali NR02 (rys. K05)</t>
  </si>
  <si>
    <t>Zabezpieczenie antykorozykne konstrukcji stalowej: czyszczenie przez szczotkowanie, odtłuszczenie, gruntowanie i malowanie dowpnym zestawem malarskim (kat. korozyjności - C2, okres trwałości - powyżej 15 lat)</t>
  </si>
  <si>
    <t xml:space="preserve">Załadunek i wywóz ziemi </t>
  </si>
  <si>
    <t xml:space="preserve">Warstwy wyrównujące i wygładzające z zaprawy samopoziomującej grubości 5 mm </t>
  </si>
  <si>
    <t xml:space="preserve">Izolacje przeciwwilgociowe i przeciwwodne z dwóch warstw folii polietylenowej szerokiej - poziome podposadzkowe </t>
  </si>
  <si>
    <t>Wylewka betonowa gr. 40 mm</t>
  </si>
  <si>
    <t>4.1.7</t>
  </si>
  <si>
    <t>Skucie luźnych tynków cementowo-wapiennych i cementowych - przyjęto 60 %</t>
  </si>
  <si>
    <t>Dwuwarstwowa izolacja pionowa przeciwwodna o gr. 5 mm ze szlamów uszczelniających nakładanych ręcznie na wyrównanym podłożu</t>
  </si>
  <si>
    <t>KNR AT-27 0201-02
KNR AT-27 0201-03</t>
  </si>
  <si>
    <t>Docieplenie ścian fundamentowych styrodurem gr. 18cm, na głębokość 1m poniżej poziomu terenu, przy pomocy zaprawy uszczelniającej mineralno-polimerowej</t>
  </si>
  <si>
    <t>Dwuwarstwowa izolacje z folii polietylenowej</t>
  </si>
  <si>
    <t>Podbudowa z kruszywa łamanego - warstwa górna o grubości po zagęszczeniu 10 cm - pod opaskę</t>
  </si>
  <si>
    <t>Naprawa podłoża przez szpachlowanie - warstwa szpachli o grubości 10 mm</t>
  </si>
  <si>
    <t>KNR AT-23 0101-06
KNR AT-23 0101-07</t>
  </si>
  <si>
    <t>Dwuwarstwowa pozioma izolacja podpłytkowa przeciwwilgociowa gr. 1 mm z polimerowej masy uszczelniającej (folii w płynie) wykonywana ręcznie</t>
  </si>
  <si>
    <t>KNR AT-27 0401-03
KNR AT-27 0401-04</t>
  </si>
  <si>
    <t xml:space="preserve">Wywóz i utylizacja zdemontowanych elementów </t>
  </si>
  <si>
    <t>NNRNKB 202 1134-02
KNR 2-02 2009-02</t>
  </si>
  <si>
    <t>NNRNKB 202 1134-01
KNR 2-02 2009-04</t>
  </si>
  <si>
    <t>Tynki (gładzie) jednowarstwowe wewnętrzne gr. 3 mm z gipsu szpachlowego wykonywane ręcznie na ścianach wraz z gruntowaniem podłoża</t>
  </si>
  <si>
    <t>Tynki (gładzie) jednowarstwowe wewnętrzne gr. 3 mm z gipsu szpachlowego wykonywane ręcznie na stropach wtaz z gruntowaniem podłoża</t>
  </si>
  <si>
    <t>Tynki (gładzie) jednowarstwowe wewnętrzne gr. 3 mm z gipsu szpachlowego wykonywane ręcznie na stropach wraz z gruntowaniem podłoża</t>
  </si>
  <si>
    <t>Przecieranie istniejących tynków wewnętrznych z zeskrobaniem farby na stropach, biegach i spocznikach</t>
  </si>
  <si>
    <t>KNR 4-01 0519-06
KNR 4-01 0519-07</t>
  </si>
  <si>
    <t xml:space="preserve">Rozbiórka fragmentów (do 10m2) dwóch warstw pokrycia z papy na dachach betonowych </t>
  </si>
  <si>
    <t>KNR 9-12 0303-04
KNR 9-12 0303-06</t>
  </si>
  <si>
    <t>Izolacje cieplne stropodachów i poddaszy, wykonywane granulatem z wełny mineralnej o grubości 18cm metodą wdmuchiwania do przestrzeni poziomych</t>
  </si>
  <si>
    <t>5.24</t>
  </si>
  <si>
    <t xml:space="preserve">Załadunek i wywóz gruzu wraz z utylizacją </t>
  </si>
  <si>
    <t>Załadunek i wywóz gruzu wraz z utylizacją</t>
  </si>
  <si>
    <t xml:space="preserve">Załadunek i wywóz zdemontowanych elementów </t>
  </si>
  <si>
    <t>Załadunek i wywóz ziemi</t>
  </si>
  <si>
    <t>Wentylator dachowy z automatyką; przepływ 335m3/h; podciśń. max 400Pa; fi 250; moc max 89W, max. 0,4A; skrzynka na wymiar: 430x430x1550</t>
  </si>
  <si>
    <t>Wentylator dachowy z automatyką; zakres przepływu od 0-700m3/h; podciśń. max 450Pa; fi 200; moc max 95W, max. 0,42A</t>
  </si>
  <si>
    <t>Wentylator dachowy z automatyką; przepływ 235m3/h; podciśń. max 400Pa; fi 200; moc max 89W, max. 0,4A; skrzynka na wymiar: 430x430x1250</t>
  </si>
  <si>
    <t>Wentylator dachowy z automatyką; zakres przepływu od 0-400m3/h; podciśń. max 373Pa; fi 200; moc max 85W, max. 0,40A</t>
  </si>
  <si>
    <t xml:space="preserve">Zbiorcze Zestawienie Kosztów (ZZK) sporządzić dla wszystkich branż i wszystkich robót objętych dokumentacją projektową, wyceniając wszystkie  pozycje zawarte w arkuszach: pn.:  "Termomodernizacja" i "Remont budynku".  
Podstawą płatności będzie cena jednostkowa (z narzutami) skalkulowana przez Wykonawcę za jednostkę obmiarową robót ustaloną dla danej pozycji Zbiorczego Zestawienia Kosztów. 
Dla pozycji kosztorysowych wycenionych ryczałtowo podstawą płatności będzie wartość (kwota) podana przez Wykonawcę w danej pozycji ZZK. 
Cena jednostkowa lub kwota ryczałtowa pozycji kosztorysowej winna uwzględniać wszystkie czynności, wymagania i badania składające się na jej wykonanie, określone dla tej roboty w Specyfikacjach Technicznych Wykonania i Odbioru Robót i w Dokumentacji Projektowej. </t>
  </si>
  <si>
    <t xml:space="preserve"> Zamawiający nie odpowiada za prawidłowość formuł w pliku - Wykonawca jest zobowiązany do ich sprawdzenia.</t>
  </si>
  <si>
    <t>Przygotowanie i montaż zbrojenia elementów budynków i budowli - pręty gładkie - # 6</t>
  </si>
  <si>
    <t xml:space="preserve">Krycie dachów papą termozgrzewalną na podłożu betonowym wraz z izolacja cieplną - styropapa gr. 20 cm </t>
  </si>
  <si>
    <t>Ułożenie izoklinów</t>
  </si>
  <si>
    <t>7.27</t>
  </si>
  <si>
    <t>Podłączanie silników w obudowie specjalnej - przewód lub kabel 3-żyłowy Cu o przekroju żyły do 6 mm2 - wentylatory ścienne</t>
  </si>
  <si>
    <t>11.4</t>
  </si>
  <si>
    <t>11.5</t>
  </si>
  <si>
    <t>11.6</t>
  </si>
  <si>
    <t>11.7</t>
  </si>
  <si>
    <t>11.8</t>
  </si>
  <si>
    <t>11.9</t>
  </si>
  <si>
    <t>11.10</t>
  </si>
  <si>
    <t>11.11</t>
  </si>
  <si>
    <t>11.12</t>
  </si>
  <si>
    <t>11.13</t>
  </si>
  <si>
    <t>11.14</t>
  </si>
  <si>
    <t>11.15</t>
  </si>
  <si>
    <t>11.16</t>
  </si>
  <si>
    <t>11.17</t>
  </si>
  <si>
    <t>13.4</t>
  </si>
  <si>
    <t>13.5</t>
  </si>
  <si>
    <t>13.6</t>
  </si>
  <si>
    <t>13.7</t>
  </si>
  <si>
    <t>13.8</t>
  </si>
  <si>
    <t>14.9</t>
  </si>
  <si>
    <t>14.10</t>
  </si>
  <si>
    <t>Zainstalowanie aparatów sekretarsko-dyrektorskich - [Rx0,5]</t>
  </si>
  <si>
    <t>6.21</t>
  </si>
  <si>
    <t>6.22</t>
  </si>
  <si>
    <t>6.23</t>
  </si>
  <si>
    <t>6.24</t>
  </si>
  <si>
    <t>6.25</t>
  </si>
  <si>
    <t>Montaż wyposażenia szafy, urządzenie aktywne</t>
  </si>
  <si>
    <t>Konfiguracja i uruchomienie centrali telefonicznej</t>
  </si>
  <si>
    <t>Dostawa i montaż aparatu telefonicznego przenośnego dla potrzeb uruchomienia centrali</t>
  </si>
  <si>
    <t>Dostawa i montaż skrzynek lęgowych dla wróbla</t>
  </si>
  <si>
    <t>Dostawa i montaż skrzynek lęgowych dla jerzyka</t>
  </si>
  <si>
    <t>Wykonanie schronów podtynkowych dla nietoperzy</t>
  </si>
  <si>
    <t>PRACE ZWIĄZANE Z DECYZJĄ RDOŚ</t>
  </si>
  <si>
    <t>Montaż wyposażenia szafy: panele krosowe, organizatory kabli</t>
  </si>
  <si>
    <t>Montaż wyposażenia szafy: kabel krosowy w urządzeniu aktywnym</t>
  </si>
  <si>
    <t>Montaż wyposażenia szafy: centrala telefoniczna rack z możliwością zabudowy w szafie 19" 2U</t>
  </si>
  <si>
    <t>6.26</t>
  </si>
  <si>
    <t>6.27</t>
  </si>
  <si>
    <t>Dostawa i montaż UPS - 1,5 kVA (w szafie 42U)</t>
  </si>
  <si>
    <t>Wykucie bruzd dla rur RKLG18, RS22 w cegle/ alternatywnie: montaż koryt kablowych pod sufitem</t>
  </si>
  <si>
    <t>Przewody kabelkowe płaskie o łącznym przekroju żył do 7.5 mm2 układane w tynku innym niż betonowy/alternatywnie: układane w korytach kablowych</t>
  </si>
  <si>
    <t>Rury winidurowe karbowane (giętkie) o śr.do 36 mm układane p.t. w gotowych bruzdach w podłożu innym niż beton/ alternatywnie układane w korytach kablowych</t>
  </si>
  <si>
    <t>Wykucie bruzd dla rur RKLG28, RS37 w cegle/ alternatywnie ułożenie koryt kablowych</t>
  </si>
  <si>
    <t>Wykucie bruzd dla rur RKLG28, RS37 w cegle/ alternatywnie ułożenie koryt kablowych pod sufitem</t>
  </si>
  <si>
    <t>Montaż szafy stojącej 42U -  PPD wraz z modułem wentylacyjnym, listwą zasilającą oraz systemem monitoringu środowiska</t>
  </si>
  <si>
    <t>Montaz karty lini zewnętrznych</t>
  </si>
  <si>
    <r>
      <t>ZAKUP Switch 48xRJ45 -</t>
    </r>
    <r>
      <rPr>
        <b/>
        <sz val="10"/>
        <color rgb="FFFF0000"/>
        <rFont val="Calibri"/>
        <family val="2"/>
        <charset val="238"/>
        <scheme val="minor"/>
      </rPr>
      <t xml:space="preserve">  producent, model i symbol …………………………………………………………………………….</t>
    </r>
  </si>
  <si>
    <r>
      <t xml:space="preserve">ZAKUP Switch 48xRJ45 POE - </t>
    </r>
    <r>
      <rPr>
        <b/>
        <sz val="10"/>
        <color rgb="FFFF0000"/>
        <rFont val="Calibri"/>
        <family val="2"/>
        <charset val="238"/>
        <scheme val="minor"/>
      </rPr>
      <t>producent, model i symbol …………………………………………………………………………….</t>
    </r>
  </si>
  <si>
    <r>
      <t xml:space="preserve">Uruchomienie WIFI z montażem wewnetrznego punktu dostępowego -  </t>
    </r>
    <r>
      <rPr>
        <b/>
        <sz val="10"/>
        <color rgb="FFFF0000"/>
        <rFont val="Calibri"/>
        <family val="2"/>
        <charset val="238"/>
        <scheme val="minor"/>
      </rPr>
      <t>producent, model: 
…………………………………………………………………………..</t>
    </r>
    <r>
      <rPr>
        <sz val="10"/>
        <color rgb="FFFF0000"/>
        <rFont val="Calibri"/>
        <family val="2"/>
        <charset val="238"/>
        <scheme val="minor"/>
      </rPr>
      <t xml:space="preserve">   
</t>
    </r>
    <r>
      <rPr>
        <sz val="10"/>
        <color theme="1"/>
        <rFont val="Calibri"/>
        <family val="2"/>
        <charset val="238"/>
        <scheme val="minor"/>
      </rPr>
      <t>(pomieszczenia: sala narad - 1.7 oraz świetlica 1.14 na piętrze budynku).</t>
    </r>
  </si>
  <si>
    <t>Drzwi wewnętrzne - D1.1 z ościeżnicą EI 30 wyposażone w samozamykacz</t>
  </si>
  <si>
    <t>Drzwi wewnętrzne - D2.1 z ościeżnicą EI 30 wyposażone w samozamykacz</t>
  </si>
  <si>
    <t>Montaż drzwi aluminiowych dwuskrzydłowych - drzwi D4.1 EI 30 wyposażone w samozamykacz</t>
  </si>
  <si>
    <t>Wymiana stolarki drewnianej na okna aluminiowe o pow. do 1.0 m2 okno O8.1 EI 60 antywłamaniowe</t>
  </si>
  <si>
    <t>KNR 0-19 0931</t>
  </si>
  <si>
    <t>Wymiana istniejącego okna na okno aluminiowe o pow. 4,82 m2 - okno O9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</si>
</sst>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z_ł_-;\-* #,##0.00\ _z_ł_-;_-* &quot;-&quot;??\ _z_ł_-;_-@_-"/>
  </numFmts>
  <fonts count="27">
    <font>
      <sz val="11"/>
      <color theme="1"/>
      <name val="Calibri"/>
      <family val="2"/>
      <charset val="238"/>
      <scheme val="minor"/>
    </font>
    <font>
      <sz val="11"/>
      <color theme="1"/>
      <name val="Calibri"/>
      <family val="2"/>
      <charset val="238"/>
      <scheme val="minor"/>
    </font>
    <font>
      <b/>
      <sz val="10"/>
      <color theme="1"/>
      <name val="Calibri"/>
      <family val="2"/>
      <charset val="238"/>
      <scheme val="minor"/>
    </font>
    <font>
      <b/>
      <sz val="11"/>
      <color theme="1"/>
      <name val="Czcionka tekstu podstawowego"/>
      <charset val="238"/>
    </font>
    <font>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0"/>
      <color theme="1"/>
      <name val="Calibri"/>
      <family val="2"/>
      <charset val="238"/>
    </font>
    <font>
      <b/>
      <sz val="11"/>
      <color theme="1"/>
      <name val="Calibri"/>
      <family val="2"/>
      <charset val="238"/>
    </font>
    <font>
      <sz val="11"/>
      <color theme="1"/>
      <name val="Czcionka tekstu podstawowego"/>
      <family val="2"/>
      <charset val="238"/>
    </font>
    <font>
      <b/>
      <sz val="14"/>
      <color theme="1"/>
      <name val="Calibri"/>
      <family val="2"/>
      <charset val="238"/>
      <scheme val="minor"/>
    </font>
    <font>
      <sz val="12"/>
      <color theme="1"/>
      <name val="Calibri"/>
      <family val="2"/>
      <charset val="238"/>
      <scheme val="minor"/>
    </font>
    <font>
      <b/>
      <sz val="11"/>
      <color theme="1"/>
      <name val="Czcionka tekstu podstawowego"/>
      <family val="2"/>
      <charset val="238"/>
    </font>
    <font>
      <u/>
      <sz val="11"/>
      <color theme="1"/>
      <name val="Calibri"/>
      <family val="2"/>
      <charset val="238"/>
    </font>
    <font>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0"/>
      <color rgb="FF000000"/>
      <name val="Calibri"/>
      <family val="2"/>
      <charset val="238"/>
    </font>
    <font>
      <sz val="11"/>
      <color rgb="FF000000"/>
      <name val="Calibri"/>
      <family val="2"/>
      <charset val="238"/>
    </font>
    <font>
      <sz val="11"/>
      <color rgb="FF000000"/>
      <name val="Times New Roman"/>
      <family val="1"/>
      <charset val="238"/>
    </font>
    <font>
      <sz val="10"/>
      <name val="Calibri"/>
      <family val="2"/>
      <charset val="238"/>
      <scheme val="minor"/>
    </font>
    <font>
      <sz val="11"/>
      <name val="Czcionka tekstu podstawowego"/>
      <family val="2"/>
      <charset val="238"/>
    </font>
    <font>
      <sz val="14"/>
      <name val="Czcionka tekstu podstawowego"/>
      <family val="2"/>
      <charset val="238"/>
    </font>
    <font>
      <sz val="8"/>
      <name val="Calibri"/>
      <family val="2"/>
      <charset val="238"/>
      <scheme val="minor"/>
    </font>
    <font>
      <b/>
      <sz val="10"/>
      <color rgb="FFFF0000"/>
      <name val="Calibri"/>
      <family val="2"/>
      <charset val="238"/>
      <scheme val="minor"/>
    </font>
    <font>
      <sz val="10"/>
      <color rgb="FFFF0000"/>
      <name val="Calibri"/>
      <family val="2"/>
      <charset val="23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43" fontId="1" fillId="0" borderId="0" applyFont="0" applyFill="0" applyBorder="0" applyAlignment="0" applyProtection="0"/>
    <xf numFmtId="0" fontId="9" fillId="0" borderId="0"/>
    <xf numFmtId="164" fontId="9" fillId="0" borderId="0" applyFont="0" applyFill="0" applyBorder="0" applyAlignment="0" applyProtection="0"/>
    <xf numFmtId="0" fontId="16" fillId="0" borderId="0" applyNumberFormat="0" applyFill="0" applyBorder="0" applyAlignment="0" applyProtection="0"/>
  </cellStyleXfs>
  <cellXfs count="117">
    <xf numFmtId="0" fontId="0" fillId="0" borderId="0" xfId="0"/>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 fontId="2" fillId="2" borderId="1" xfId="0" applyNumberFormat="1" applyFont="1" applyFill="1" applyBorder="1" applyAlignment="1" applyProtection="1">
      <alignment horizontal="center" vertical="center"/>
      <protection locked="0"/>
    </xf>
    <xf numFmtId="4" fontId="2" fillId="2"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vertical="center"/>
      <protection locked="0"/>
    </xf>
    <xf numFmtId="49"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4" fontId="4" fillId="0" borderId="1" xfId="0" applyNumberFormat="1" applyFont="1" applyBorder="1" applyAlignment="1" applyProtection="1">
      <alignment vertical="center" wrapText="1"/>
      <protection locked="0"/>
    </xf>
    <xf numFmtId="0" fontId="0" fillId="0" borderId="0" xfId="0" applyAlignment="1" applyProtection="1">
      <alignment vertical="center" wrapText="1"/>
      <protection locked="0"/>
    </xf>
    <xf numFmtId="49"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4" fontId="4" fillId="0" borderId="1" xfId="0" applyNumberFormat="1" applyFont="1" applyBorder="1" applyAlignment="1" applyProtection="1">
      <alignment vertical="center"/>
      <protection locked="0"/>
    </xf>
    <xf numFmtId="49" fontId="2" fillId="3" borderId="1"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49" fontId="4" fillId="4" borderId="1"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vertical="center" wrapText="1"/>
      <protection locked="0"/>
    </xf>
    <xf numFmtId="49" fontId="4" fillId="4" borderId="1" xfId="0" applyNumberFormat="1"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protection locked="0"/>
    </xf>
    <xf numFmtId="4" fontId="4" fillId="4" borderId="1" xfId="0"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2" fillId="6" borderId="1" xfId="0" applyFont="1" applyFill="1" applyBorder="1" applyAlignment="1" applyProtection="1">
      <alignment horizontal="center" vertical="center"/>
      <protection locked="0"/>
    </xf>
    <xf numFmtId="0" fontId="2" fillId="6" borderId="2" xfId="0" applyFont="1" applyFill="1" applyBorder="1" applyAlignment="1" applyProtection="1">
      <alignment vertical="center" wrapText="1"/>
      <protection locked="0"/>
    </xf>
    <xf numFmtId="49" fontId="2" fillId="6" borderId="3" xfId="0" applyNumberFormat="1" applyFont="1" applyFill="1" applyBorder="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6" borderId="4" xfId="0" applyFont="1" applyFill="1" applyBorder="1" applyAlignment="1" applyProtection="1">
      <alignment vertical="center" wrapText="1"/>
      <protection locked="0"/>
    </xf>
    <xf numFmtId="49" fontId="2" fillId="6" borderId="1"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vertical="center"/>
      <protection locked="0"/>
    </xf>
    <xf numFmtId="0" fontId="2" fillId="5" borderId="3" xfId="0" applyFont="1" applyFill="1" applyBorder="1" applyAlignment="1" applyProtection="1">
      <alignment vertical="center"/>
      <protection locked="0"/>
    </xf>
    <xf numFmtId="0" fontId="2" fillId="5" borderId="4" xfId="0" applyFont="1" applyFill="1" applyBorder="1" applyAlignment="1" applyProtection="1">
      <alignment vertical="center"/>
      <protection locked="0"/>
    </xf>
    <xf numFmtId="0" fontId="5" fillId="2" borderId="5"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9" fontId="2" fillId="5" borderId="3" xfId="0" applyNumberFormat="1" applyFont="1" applyFill="1" applyBorder="1" applyAlignment="1" applyProtection="1">
      <alignment vertical="center" wrapText="1"/>
      <protection locked="0"/>
    </xf>
    <xf numFmtId="49" fontId="5" fillId="2" borderId="7" xfId="0" applyNumberFormat="1" applyFont="1" applyFill="1" applyBorder="1" applyAlignment="1" applyProtection="1">
      <alignment vertical="center" wrapText="1"/>
      <protection locked="0"/>
    </xf>
    <xf numFmtId="49" fontId="5" fillId="2" borderId="9" xfId="0" applyNumberFormat="1" applyFont="1" applyFill="1" applyBorder="1" applyAlignment="1" applyProtection="1">
      <alignment vertical="center" wrapText="1"/>
      <protection locked="0"/>
    </xf>
    <xf numFmtId="49" fontId="5" fillId="2" borderId="12" xfId="0" applyNumberFormat="1" applyFont="1" applyFill="1" applyBorder="1" applyAlignment="1" applyProtection="1">
      <alignment vertical="center" wrapText="1"/>
      <protection locked="0"/>
    </xf>
    <xf numFmtId="49" fontId="0" fillId="0" borderId="0" xfId="0" applyNumberFormat="1" applyAlignment="1">
      <alignment wrapText="1"/>
    </xf>
    <xf numFmtId="0" fontId="4" fillId="4" borderId="1" xfId="0"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3" fontId="1" fillId="0" borderId="1" xfId="1" applyNumberFormat="1" applyFont="1" applyBorder="1" applyAlignment="1" applyProtection="1">
      <alignment horizontal="right" vertical="center"/>
      <protection locked="0"/>
    </xf>
    <xf numFmtId="43" fontId="6" fillId="5" borderId="1" xfId="1" applyNumberFormat="1" applyFont="1" applyFill="1" applyBorder="1" applyAlignment="1" applyProtection="1">
      <alignment horizontal="right" vertical="center"/>
      <protection locked="0"/>
    </xf>
    <xf numFmtId="43" fontId="1" fillId="4" borderId="1" xfId="1" applyNumberFormat="1" applyFont="1" applyFill="1" applyBorder="1" applyAlignment="1" applyProtection="1">
      <alignment horizontal="right" vertical="center"/>
      <protection locked="0"/>
    </xf>
    <xf numFmtId="43" fontId="6" fillId="6" borderId="1" xfId="1" applyNumberFormat="1" applyFont="1" applyFill="1" applyBorder="1" applyAlignment="1" applyProtection="1">
      <alignment horizontal="right" vertical="center"/>
      <protection locked="0"/>
    </xf>
    <xf numFmtId="43" fontId="4" fillId="6" borderId="1" xfId="0" applyNumberFormat="1" applyFont="1" applyFill="1" applyBorder="1" applyAlignment="1" applyProtection="1">
      <alignment horizontal="right" vertical="center" wrapText="1"/>
      <protection locked="0"/>
    </xf>
    <xf numFmtId="43" fontId="6" fillId="3" borderId="1" xfId="1" applyNumberFormat="1" applyFont="1" applyFill="1" applyBorder="1" applyAlignment="1" applyProtection="1">
      <alignment horizontal="right" vertical="center"/>
      <protection locked="0"/>
    </xf>
    <xf numFmtId="43" fontId="5" fillId="2" borderId="1" xfId="1" applyNumberFormat="1" applyFont="1" applyFill="1" applyBorder="1" applyAlignment="1" applyProtection="1">
      <alignment horizontal="right" vertical="center"/>
      <protection locked="0"/>
    </xf>
    <xf numFmtId="43" fontId="6" fillId="2" borderId="1" xfId="1" applyNumberFormat="1" applyFont="1" applyFill="1" applyBorder="1" applyAlignment="1" applyProtection="1">
      <alignment horizontal="right" vertical="center"/>
      <protection locked="0"/>
    </xf>
    <xf numFmtId="0" fontId="0" fillId="0" borderId="0" xfId="0" applyAlignment="1"/>
    <xf numFmtId="0" fontId="9" fillId="0" borderId="0" xfId="2" applyAlignment="1">
      <alignment vertical="center"/>
    </xf>
    <xf numFmtId="0" fontId="1" fillId="0" borderId="0" xfId="2" applyFont="1" applyAlignment="1">
      <alignmen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 fillId="0" borderId="1" xfId="2" applyFont="1" applyBorder="1" applyAlignment="1">
      <alignment horizontal="center" vertical="center"/>
    </xf>
    <xf numFmtId="0" fontId="1" fillId="0" borderId="1" xfId="2" applyFont="1" applyBorder="1" applyAlignment="1">
      <alignment vertical="center"/>
    </xf>
    <xf numFmtId="164" fontId="1" fillId="0" borderId="1" xfId="2" applyNumberFormat="1" applyFont="1" applyBorder="1" applyAlignment="1">
      <alignment vertical="center"/>
    </xf>
    <xf numFmtId="164" fontId="1" fillId="0" borderId="0" xfId="3" applyFont="1" applyAlignment="1">
      <alignment vertical="center"/>
    </xf>
    <xf numFmtId="164" fontId="0" fillId="0" borderId="0" xfId="3" applyFont="1" applyAlignment="1">
      <alignment vertical="center"/>
    </xf>
    <xf numFmtId="164" fontId="6" fillId="0" borderId="1" xfId="2" applyNumberFormat="1" applyFont="1" applyBorder="1" applyAlignment="1">
      <alignment vertical="center"/>
    </xf>
    <xf numFmtId="164" fontId="6" fillId="0" borderId="0" xfId="3" applyFont="1" applyAlignment="1">
      <alignment vertical="center"/>
    </xf>
    <xf numFmtId="0" fontId="12" fillId="0" borderId="1" xfId="2" applyFont="1" applyBorder="1" applyAlignment="1">
      <alignment horizontal="center" vertical="center"/>
    </xf>
    <xf numFmtId="0" fontId="12" fillId="0" borderId="0" xfId="2" applyFont="1" applyAlignment="1">
      <alignment horizontal="center" vertical="center"/>
    </xf>
    <xf numFmtId="164" fontId="6" fillId="0" borderId="0" xfId="2" applyNumberFormat="1" applyFont="1" applyAlignment="1">
      <alignment vertical="center"/>
    </xf>
    <xf numFmtId="0" fontId="13" fillId="0" borderId="0" xfId="2" applyFont="1" applyAlignment="1">
      <alignment horizontal="left" vertical="center"/>
    </xf>
    <xf numFmtId="0" fontId="14" fillId="0" borderId="0" xfId="2" applyFont="1" applyAlignment="1">
      <alignment horizontal="right" vertical="center" indent="2"/>
    </xf>
    <xf numFmtId="0" fontId="14" fillId="0" borderId="0" xfId="2" applyFont="1" applyAlignment="1">
      <alignment horizontal="left" vertical="center" indent="5"/>
    </xf>
    <xf numFmtId="0" fontId="16" fillId="0" borderId="0" xfId="4" applyAlignment="1">
      <alignment horizontal="left" vertical="center" indent="4"/>
    </xf>
    <xf numFmtId="164" fontId="1" fillId="0" borderId="0" xfId="3" applyFont="1" applyAlignment="1">
      <alignment horizontal="center" vertical="center"/>
    </xf>
    <xf numFmtId="0" fontId="19" fillId="0" borderId="0" xfId="2" applyFont="1" applyAlignment="1">
      <alignment vertical="center"/>
    </xf>
    <xf numFmtId="0" fontId="14" fillId="0" borderId="0" xfId="2" applyFont="1" applyAlignment="1">
      <alignment vertical="center"/>
    </xf>
    <xf numFmtId="0" fontId="22" fillId="4" borderId="0" xfId="2" applyFont="1" applyFill="1" applyAlignment="1">
      <alignment vertical="center"/>
    </xf>
    <xf numFmtId="0" fontId="23" fillId="4" borderId="0" xfId="2" applyFont="1" applyFill="1" applyAlignment="1">
      <alignment vertical="center"/>
    </xf>
    <xf numFmtId="49" fontId="4" fillId="0" borderId="1" xfId="0" applyNumberFormat="1" applyFont="1" applyFill="1" applyBorder="1" applyAlignment="1" applyProtection="1">
      <alignment vertical="center" wrapText="1"/>
      <protection locked="0"/>
    </xf>
    <xf numFmtId="0" fontId="9" fillId="0" borderId="0" xfId="2" applyAlignment="1">
      <alignment horizontal="center" vertical="center"/>
    </xf>
    <xf numFmtId="0" fontId="20" fillId="0" borderId="0" xfId="2" quotePrefix="1" applyFont="1" applyAlignment="1">
      <alignment horizontal="left" vertical="center" wrapText="1"/>
    </xf>
    <xf numFmtId="0" fontId="20" fillId="0" borderId="0" xfId="2" applyFont="1" applyAlignment="1">
      <alignment horizontal="left" vertical="center" wrapText="1"/>
    </xf>
    <xf numFmtId="0" fontId="21" fillId="0" borderId="6" xfId="2" applyFont="1" applyBorder="1" applyAlignment="1">
      <alignment horizontal="center" vertical="center" wrapText="1"/>
    </xf>
    <xf numFmtId="0" fontId="10" fillId="0" borderId="0" xfId="2" applyFont="1" applyAlignment="1">
      <alignment horizontal="center" vertical="center"/>
    </xf>
    <xf numFmtId="164" fontId="17" fillId="0" borderId="0" xfId="3" applyFont="1" applyAlignment="1">
      <alignment horizontal="center" vertical="center" wrapText="1"/>
    </xf>
    <xf numFmtId="0" fontId="18" fillId="0" borderId="0" xfId="2" applyFont="1" applyAlignment="1">
      <alignment horizontal="left" vertical="center" wrapText="1"/>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2" fillId="6" borderId="2" xfId="0" applyFont="1" applyFill="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protection locked="0"/>
    </xf>
    <xf numFmtId="0" fontId="2" fillId="6" borderId="4" xfId="0" applyFont="1" applyFill="1" applyBorder="1" applyAlignment="1" applyProtection="1">
      <alignment horizontal="left" vertical="center" wrapText="1"/>
      <protection locked="0"/>
    </xf>
    <xf numFmtId="0" fontId="0" fillId="0" borderId="0" xfId="0" applyAlignment="1">
      <alignment horizontal="center" wrapText="1"/>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0" fillId="0" borderId="11" xfId="0" applyBorder="1" applyAlignment="1">
      <alignment horizontal="center"/>
    </xf>
    <xf numFmtId="0" fontId="0" fillId="0" borderId="0" xfId="0" applyAlignment="1">
      <alignment horizontal="center"/>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cellXfs>
  <cellStyles count="5">
    <cellStyle name="Dziesiętny" xfId="1" builtinId="3"/>
    <cellStyle name="Dziesiętny 2" xfId="3" xr:uid="{00000000-0005-0000-0000-000001000000}"/>
    <cellStyle name="Hiperłącze" xfId="4" builtinId="8"/>
    <cellStyle name="Normalny" xfId="0" builtinId="0"/>
    <cellStyle name="Normalny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4</xdr:col>
      <xdr:colOff>1245870</xdr:colOff>
      <xdr:row>0</xdr:row>
      <xdr:rowOff>582930</xdr:rowOff>
    </xdr:to>
    <xdr:pic>
      <xdr:nvPicPr>
        <xdr:cNvPr id="2" name="Obraz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7625" y="0"/>
          <a:ext cx="5760720" cy="58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571500</xdr:colOff>
      <xdr:row>0</xdr:row>
      <xdr:rowOff>0</xdr:rowOff>
    </xdr:from>
    <xdr:to>
      <xdr:col>5</xdr:col>
      <xdr:colOff>587913</xdr:colOff>
      <xdr:row>0</xdr:row>
      <xdr:rowOff>582930</xdr:rowOff>
    </xdr:to>
    <xdr:pic>
      <xdr:nvPicPr>
        <xdr:cNvPr id="2" name="Obraz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974481" y="0"/>
          <a:ext cx="5760720" cy="582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520211</xdr:colOff>
      <xdr:row>0</xdr:row>
      <xdr:rowOff>0</xdr:rowOff>
    </xdr:from>
    <xdr:to>
      <xdr:col>5</xdr:col>
      <xdr:colOff>536624</xdr:colOff>
      <xdr:row>0</xdr:row>
      <xdr:rowOff>582930</xdr:rowOff>
    </xdr:to>
    <xdr:pic>
      <xdr:nvPicPr>
        <xdr:cNvPr id="2" name="Obraz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923192" y="0"/>
          <a:ext cx="5760720" cy="58293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view="pageBreakPreview" zoomScaleNormal="100" zoomScaleSheetLayoutView="100" workbookViewId="0">
      <selection activeCell="C6" sqref="C6"/>
    </sheetView>
  </sheetViews>
  <sheetFormatPr defaultRowHeight="14.25"/>
  <cols>
    <col min="1" max="1" width="5.5703125" style="68" customWidth="1"/>
    <col min="2" max="2" width="29.85546875" style="68" customWidth="1"/>
    <col min="3" max="3" width="19.7109375" style="68" customWidth="1"/>
    <col min="4" max="4" width="13.28515625" style="68" bestFit="1" customWidth="1"/>
    <col min="5" max="5" width="20.42578125" style="68" customWidth="1"/>
    <col min="6" max="6" width="9.140625" style="68"/>
    <col min="7" max="7" width="13.28515625" style="68" bestFit="1" customWidth="1"/>
    <col min="8" max="8" width="15" style="68" bestFit="1" customWidth="1"/>
    <col min="9" max="9" width="13.28515625" style="68" bestFit="1" customWidth="1"/>
    <col min="10" max="16384" width="9.140625" style="68"/>
  </cols>
  <sheetData>
    <row r="1" spans="1:10" ht="70.5" customHeight="1">
      <c r="A1" s="93"/>
      <c r="B1" s="93"/>
      <c r="C1" s="93"/>
      <c r="D1" s="93"/>
      <c r="E1" s="93"/>
    </row>
    <row r="2" spans="1:10" ht="24.75" customHeight="1">
      <c r="A2" s="90" t="s">
        <v>1378</v>
      </c>
      <c r="B2" s="91"/>
    </row>
    <row r="3" spans="1:10" ht="30" customHeight="1">
      <c r="A3" s="69"/>
      <c r="B3" s="97" t="s">
        <v>1345</v>
      </c>
      <c r="C3" s="97"/>
      <c r="D3" s="97"/>
      <c r="E3" s="69"/>
      <c r="F3" s="69"/>
      <c r="G3" s="69"/>
    </row>
    <row r="4" spans="1:10" ht="16.5" customHeight="1">
      <c r="A4" s="69"/>
      <c r="B4" s="70" t="s">
        <v>1346</v>
      </c>
      <c r="C4" s="69"/>
      <c r="D4" s="69"/>
      <c r="E4" s="69"/>
      <c r="F4" s="69"/>
      <c r="G4" s="69"/>
    </row>
    <row r="5" spans="1:10" ht="21" customHeight="1">
      <c r="A5" s="71" t="s">
        <v>0</v>
      </c>
      <c r="B5" s="71" t="s">
        <v>1347</v>
      </c>
      <c r="C5" s="72" t="s">
        <v>1348</v>
      </c>
      <c r="D5" s="71" t="s">
        <v>1349</v>
      </c>
      <c r="E5" s="72" t="s">
        <v>1350</v>
      </c>
      <c r="F5" s="69"/>
      <c r="G5" s="69"/>
    </row>
    <row r="6" spans="1:10" ht="15">
      <c r="A6" s="73">
        <v>1</v>
      </c>
      <c r="B6" s="74" t="s">
        <v>630</v>
      </c>
      <c r="C6" s="75">
        <f>Termomodernizacja!G3</f>
        <v>0</v>
      </c>
      <c r="D6" s="75">
        <f>C6*23%</f>
        <v>0</v>
      </c>
      <c r="E6" s="75">
        <f>C6+D6</f>
        <v>0</v>
      </c>
      <c r="F6" s="69"/>
      <c r="G6" s="76"/>
      <c r="H6" s="76"/>
      <c r="I6" s="76"/>
      <c r="J6" s="77"/>
    </row>
    <row r="7" spans="1:10" ht="15">
      <c r="A7" s="73">
        <v>2</v>
      </c>
      <c r="B7" s="74" t="s">
        <v>1351</v>
      </c>
      <c r="C7" s="75">
        <f>Termomodernizacja!G115</f>
        <v>0</v>
      </c>
      <c r="D7" s="75">
        <f t="shared" ref="D7:D8" si="0">C7*23%</f>
        <v>0</v>
      </c>
      <c r="E7" s="75">
        <f t="shared" ref="E7:E8" si="1">C7+D7</f>
        <v>0</v>
      </c>
      <c r="F7" s="69"/>
      <c r="G7" s="76"/>
      <c r="H7" s="76"/>
      <c r="I7" s="76"/>
      <c r="J7" s="77"/>
    </row>
    <row r="8" spans="1:10" ht="15">
      <c r="A8" s="73">
        <v>3</v>
      </c>
      <c r="B8" s="74" t="s">
        <v>1352</v>
      </c>
      <c r="C8" s="75">
        <f>Termomodernizacja!G171</f>
        <v>0</v>
      </c>
      <c r="D8" s="75">
        <f t="shared" si="0"/>
        <v>0</v>
      </c>
      <c r="E8" s="75">
        <f t="shared" si="1"/>
        <v>0</v>
      </c>
      <c r="F8" s="69"/>
      <c r="G8" s="76"/>
      <c r="H8" s="76"/>
      <c r="I8" s="76"/>
      <c r="J8" s="77"/>
    </row>
    <row r="9" spans="1:10" ht="15">
      <c r="A9" s="74"/>
      <c r="B9" s="73" t="s">
        <v>1353</v>
      </c>
      <c r="C9" s="78">
        <f>SUM(C6:C8)</f>
        <v>0</v>
      </c>
      <c r="D9" s="78">
        <f>SUM(D6:D8)</f>
        <v>0</v>
      </c>
      <c r="E9" s="78">
        <f>SUM(E6:E8)</f>
        <v>0</v>
      </c>
      <c r="F9" s="69"/>
      <c r="G9" s="79"/>
      <c r="H9" s="79"/>
      <c r="I9" s="79"/>
      <c r="J9" s="77"/>
    </row>
    <row r="10" spans="1:10" ht="17.25" customHeight="1">
      <c r="A10" s="69"/>
      <c r="B10" s="70" t="s">
        <v>1379</v>
      </c>
      <c r="C10" s="69"/>
      <c r="D10" s="69"/>
      <c r="E10" s="69"/>
      <c r="F10" s="69"/>
      <c r="G10" s="69"/>
    </row>
    <row r="11" spans="1:10" ht="24.75" customHeight="1">
      <c r="A11" s="71" t="s">
        <v>0</v>
      </c>
      <c r="B11" s="71" t="s">
        <v>1347</v>
      </c>
      <c r="C11" s="72" t="s">
        <v>1348</v>
      </c>
      <c r="D11" s="71" t="s">
        <v>1349</v>
      </c>
      <c r="E11" s="72" t="s">
        <v>1350</v>
      </c>
      <c r="F11" s="69"/>
      <c r="G11" s="69"/>
    </row>
    <row r="12" spans="1:10" ht="15">
      <c r="A12" s="73">
        <v>1</v>
      </c>
      <c r="B12" s="74" t="s">
        <v>630</v>
      </c>
      <c r="C12" s="75">
        <f>'Remont budynku'!G3</f>
        <v>0</v>
      </c>
      <c r="D12" s="75">
        <f>C12*23%</f>
        <v>0</v>
      </c>
      <c r="E12" s="75">
        <f>C12+D12</f>
        <v>0</v>
      </c>
      <c r="F12" s="69"/>
      <c r="G12" s="69"/>
    </row>
    <row r="13" spans="1:10" ht="15">
      <c r="A13" s="73">
        <v>2</v>
      </c>
      <c r="B13" s="74" t="s">
        <v>1354</v>
      </c>
      <c r="C13" s="75">
        <f>'Remont budynku'!G225</f>
        <v>0</v>
      </c>
      <c r="D13" s="75">
        <f>C13*23%</f>
        <v>0</v>
      </c>
      <c r="E13" s="75">
        <f>C13+D13</f>
        <v>0</v>
      </c>
      <c r="F13" s="69"/>
      <c r="G13" s="69"/>
    </row>
    <row r="14" spans="1:10" ht="15">
      <c r="A14" s="73">
        <v>3</v>
      </c>
      <c r="B14" s="74" t="s">
        <v>1351</v>
      </c>
      <c r="C14" s="75">
        <f>'Remont budynku'!G239</f>
        <v>0</v>
      </c>
      <c r="D14" s="75">
        <f t="shared" ref="D14:D15" si="2">C14*23%</f>
        <v>0</v>
      </c>
      <c r="E14" s="75">
        <f t="shared" ref="E14:E15" si="3">C14+D14</f>
        <v>0</v>
      </c>
      <c r="F14" s="69"/>
      <c r="G14" s="69"/>
    </row>
    <row r="15" spans="1:10" ht="15">
      <c r="A15" s="73">
        <v>4</v>
      </c>
      <c r="B15" s="74" t="s">
        <v>1352</v>
      </c>
      <c r="C15" s="75">
        <f>'Remont budynku'!G359</f>
        <v>0</v>
      </c>
      <c r="D15" s="75">
        <f t="shared" si="2"/>
        <v>0</v>
      </c>
      <c r="E15" s="75">
        <f t="shared" si="3"/>
        <v>0</v>
      </c>
      <c r="F15" s="69"/>
      <c r="G15" s="69"/>
    </row>
    <row r="16" spans="1:10" ht="15">
      <c r="A16" s="74"/>
      <c r="B16" s="73" t="s">
        <v>1353</v>
      </c>
      <c r="C16" s="78">
        <f>SUM(C12:C15)</f>
        <v>0</v>
      </c>
      <c r="D16" s="78">
        <f>SUM(D12:D15)</f>
        <v>0</v>
      </c>
      <c r="E16" s="78">
        <f>SUM(E12:E15)</f>
        <v>0</v>
      </c>
    </row>
    <row r="18" spans="1:5" ht="15">
      <c r="B18" s="80" t="s">
        <v>1355</v>
      </c>
      <c r="C18" s="78">
        <f>C9+C16</f>
        <v>0</v>
      </c>
      <c r="D18" s="78">
        <f>D9+D16</f>
        <v>0</v>
      </c>
      <c r="E18" s="78">
        <f>E9+E16</f>
        <v>0</v>
      </c>
    </row>
    <row r="19" spans="1:5" ht="15">
      <c r="B19" s="81"/>
      <c r="C19" s="82"/>
      <c r="D19" s="82"/>
      <c r="E19" s="82"/>
    </row>
    <row r="20" spans="1:5" ht="15">
      <c r="A20" s="83" t="s">
        <v>1356</v>
      </c>
      <c r="C20" s="69"/>
      <c r="D20" s="76"/>
      <c r="E20" s="69"/>
    </row>
    <row r="21" spans="1:5" ht="15">
      <c r="A21" s="69"/>
      <c r="B21" s="69"/>
      <c r="C21" s="84" t="s">
        <v>1357</v>
      </c>
      <c r="D21" s="76" t="s">
        <v>1358</v>
      </c>
      <c r="E21" s="69" t="s">
        <v>1359</v>
      </c>
    </row>
    <row r="22" spans="1:5" ht="15">
      <c r="A22" s="69"/>
      <c r="B22" s="69"/>
      <c r="C22" s="84" t="s">
        <v>1360</v>
      </c>
      <c r="D22" s="76" t="s">
        <v>1361</v>
      </c>
      <c r="E22" s="69" t="s">
        <v>1362</v>
      </c>
    </row>
    <row r="23" spans="1:5" ht="15">
      <c r="A23" s="69"/>
      <c r="B23" s="69"/>
      <c r="C23" s="84" t="s">
        <v>1363</v>
      </c>
      <c r="D23" s="76" t="s">
        <v>1361</v>
      </c>
      <c r="E23" s="69" t="s">
        <v>1362</v>
      </c>
    </row>
    <row r="24" spans="1:5" ht="15">
      <c r="A24" s="69"/>
      <c r="B24" s="69"/>
      <c r="C24" s="84" t="s">
        <v>1364</v>
      </c>
      <c r="D24" s="76" t="s">
        <v>1358</v>
      </c>
      <c r="E24" s="69" t="s">
        <v>1362</v>
      </c>
    </row>
    <row r="25" spans="1:5" ht="15">
      <c r="A25" s="69"/>
      <c r="B25" s="69"/>
      <c r="C25" s="69"/>
      <c r="D25" s="76"/>
      <c r="E25" s="69"/>
    </row>
    <row r="26" spans="1:5" ht="15">
      <c r="A26" s="69" t="s">
        <v>1365</v>
      </c>
      <c r="C26" s="69"/>
      <c r="D26" s="76"/>
      <c r="E26" s="69"/>
    </row>
    <row r="27" spans="1:5" ht="15">
      <c r="A27" s="69"/>
      <c r="B27" s="85" t="s">
        <v>1366</v>
      </c>
      <c r="C27" s="86"/>
      <c r="D27" s="76"/>
      <c r="E27" s="69"/>
    </row>
    <row r="28" spans="1:5" ht="15">
      <c r="A28" s="69"/>
      <c r="B28" s="85" t="s">
        <v>1367</v>
      </c>
      <c r="C28" s="69"/>
      <c r="D28" s="76"/>
      <c r="E28" s="69"/>
    </row>
    <row r="29" spans="1:5" ht="15">
      <c r="A29" s="69"/>
      <c r="B29" s="85" t="s">
        <v>1368</v>
      </c>
      <c r="C29" s="69"/>
      <c r="D29" s="76"/>
      <c r="E29" s="69"/>
    </row>
    <row r="30" spans="1:5" ht="8.25" customHeight="1">
      <c r="A30" s="69"/>
      <c r="B30" s="85"/>
      <c r="C30" s="69"/>
      <c r="D30" s="76"/>
      <c r="E30" s="69"/>
    </row>
    <row r="31" spans="1:5" ht="15">
      <c r="A31" s="69"/>
      <c r="D31" s="87" t="s">
        <v>1369</v>
      </c>
      <c r="E31" s="69"/>
    </row>
    <row r="32" spans="1:5" ht="15">
      <c r="A32" s="69"/>
      <c r="B32" s="85"/>
      <c r="C32" s="98" t="s">
        <v>1344</v>
      </c>
      <c r="D32" s="98"/>
      <c r="E32" s="98"/>
    </row>
    <row r="33" spans="1:5" ht="15">
      <c r="A33" s="69"/>
      <c r="B33" s="70" t="s">
        <v>1370</v>
      </c>
      <c r="C33" s="69"/>
      <c r="D33" s="76"/>
      <c r="E33" s="69"/>
    </row>
    <row r="34" spans="1:5" ht="125.25" customHeight="1">
      <c r="A34" s="99" t="s">
        <v>1474</v>
      </c>
      <c r="B34" s="99"/>
      <c r="C34" s="99"/>
      <c r="D34" s="99"/>
      <c r="E34" s="99"/>
    </row>
    <row r="35" spans="1:5" ht="15">
      <c r="A35" s="88" t="s">
        <v>1371</v>
      </c>
      <c r="C35" s="69"/>
      <c r="D35" s="76"/>
      <c r="E35" s="69"/>
    </row>
    <row r="36" spans="1:5" ht="15.75" customHeight="1">
      <c r="A36" s="69"/>
      <c r="B36" s="94" t="s">
        <v>1372</v>
      </c>
      <c r="C36" s="95"/>
      <c r="D36" s="95"/>
      <c r="E36" s="95"/>
    </row>
    <row r="37" spans="1:5" ht="27" customHeight="1">
      <c r="A37" s="69"/>
      <c r="B37" s="94" t="s">
        <v>1373</v>
      </c>
      <c r="C37" s="95"/>
      <c r="D37" s="95"/>
      <c r="E37" s="95"/>
    </row>
    <row r="38" spans="1:5" ht="15" customHeight="1">
      <c r="A38" s="69"/>
      <c r="B38" s="94" t="s">
        <v>1374</v>
      </c>
      <c r="C38" s="95"/>
      <c r="D38" s="95"/>
      <c r="E38" s="95"/>
    </row>
    <row r="39" spans="1:5" ht="15" customHeight="1">
      <c r="A39" s="69"/>
      <c r="B39" s="94" t="s">
        <v>1375</v>
      </c>
      <c r="C39" s="95"/>
      <c r="D39" s="95"/>
      <c r="E39" s="95"/>
    </row>
    <row r="40" spans="1:5" ht="15" customHeight="1">
      <c r="A40" s="69"/>
      <c r="B40" s="94" t="s">
        <v>1376</v>
      </c>
      <c r="C40" s="95"/>
      <c r="D40" s="95"/>
      <c r="E40" s="95"/>
    </row>
    <row r="41" spans="1:5" ht="15">
      <c r="A41" s="69"/>
      <c r="B41" s="69"/>
      <c r="C41" s="88"/>
      <c r="D41" s="76"/>
      <c r="E41" s="69"/>
    </row>
    <row r="42" spans="1:5" ht="15">
      <c r="A42" s="89" t="s">
        <v>1377</v>
      </c>
      <c r="D42" s="76"/>
      <c r="E42" s="69"/>
    </row>
    <row r="43" spans="1:5" ht="29.25" customHeight="1">
      <c r="A43" s="96" t="s">
        <v>1475</v>
      </c>
      <c r="B43" s="96"/>
      <c r="C43" s="96"/>
      <c r="D43" s="96"/>
      <c r="E43" s="96"/>
    </row>
  </sheetData>
  <mergeCells count="10">
    <mergeCell ref="A1:E1"/>
    <mergeCell ref="B39:E39"/>
    <mergeCell ref="B40:E40"/>
    <mergeCell ref="A43:E43"/>
    <mergeCell ref="B3:D3"/>
    <mergeCell ref="C32:E32"/>
    <mergeCell ref="A34:E34"/>
    <mergeCell ref="B36:E36"/>
    <mergeCell ref="B37:E37"/>
    <mergeCell ref="B38:E38"/>
  </mergeCells>
  <printOptions horizontalCentered="1"/>
  <pageMargins left="0.70866141732283472" right="0.15748031496062992" top="0.43307086614173229" bottom="0.35433070866141736" header="0.31496062992125984" footer="0.31496062992125984"/>
  <pageSetup paperSize="9" scale="92" orientation="portrait" r:id="rId1"/>
  <headerFooter differentFirst="1">
    <oddHeader xml:space="preserve">&amp;C
</oddHead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8"/>
  <sheetViews>
    <sheetView tabSelected="1" view="pageBreakPreview" topLeftCell="A16" zoomScale="130" zoomScaleNormal="110" zoomScaleSheetLayoutView="130" workbookViewId="0">
      <selection activeCell="C18" sqref="C18"/>
    </sheetView>
  </sheetViews>
  <sheetFormatPr defaultRowHeight="15"/>
  <cols>
    <col min="1" max="1" width="6" customWidth="1"/>
    <col min="2" max="2" width="18.42578125" customWidth="1"/>
    <col min="3" max="3" width="48.85546875" style="51" customWidth="1"/>
    <col min="4" max="4" width="7.42578125" customWidth="1"/>
    <col min="5" max="6" width="11.28515625" customWidth="1"/>
    <col min="7" max="7" width="13.28515625" customWidth="1"/>
  </cols>
  <sheetData>
    <row r="1" spans="1:13" ht="48.75" customHeight="1">
      <c r="A1" s="113"/>
      <c r="B1" s="113"/>
      <c r="C1" s="113"/>
      <c r="D1" s="113"/>
      <c r="E1" s="113"/>
      <c r="F1" s="113"/>
      <c r="G1" s="113"/>
    </row>
    <row r="2" spans="1:13" s="6" customFormat="1" ht="25.5">
      <c r="A2" s="1" t="s">
        <v>0</v>
      </c>
      <c r="B2" s="2" t="s">
        <v>1</v>
      </c>
      <c r="C2" s="3" t="s">
        <v>2</v>
      </c>
      <c r="D2" s="2" t="s">
        <v>3</v>
      </c>
      <c r="E2" s="4" t="s">
        <v>4</v>
      </c>
      <c r="F2" s="5" t="s">
        <v>5</v>
      </c>
      <c r="G2" s="4" t="s">
        <v>6</v>
      </c>
    </row>
    <row r="3" spans="1:13" s="6" customFormat="1">
      <c r="A3" s="33" t="s">
        <v>7</v>
      </c>
      <c r="B3" s="34"/>
      <c r="C3" s="47"/>
      <c r="D3" s="34"/>
      <c r="E3" s="34"/>
      <c r="F3" s="35"/>
      <c r="G3" s="60">
        <f>G4+G8+G22+G28+G49+G74+G83+G111</f>
        <v>0</v>
      </c>
      <c r="H3" s="7"/>
      <c r="I3" s="7"/>
      <c r="J3" s="7"/>
      <c r="K3" s="7"/>
    </row>
    <row r="4" spans="1:13" s="8" customFormat="1" ht="15" customHeight="1">
      <c r="A4" s="32" t="s">
        <v>521</v>
      </c>
      <c r="B4" s="106" t="s">
        <v>1393</v>
      </c>
      <c r="C4" s="107"/>
      <c r="D4" s="30"/>
      <c r="E4" s="30"/>
      <c r="F4" s="31"/>
      <c r="G4" s="62">
        <f>SUM(G5:G7)</f>
        <v>0</v>
      </c>
    </row>
    <row r="5" spans="1:13" s="8" customFormat="1" ht="25.5">
      <c r="A5" s="21" t="s">
        <v>9</v>
      </c>
      <c r="B5" s="22" t="s">
        <v>143</v>
      </c>
      <c r="C5" s="23" t="s">
        <v>144</v>
      </c>
      <c r="D5" s="24" t="s">
        <v>31</v>
      </c>
      <c r="E5" s="25">
        <f>1.7*1.2*6+1.72*1.32*5</f>
        <v>23.591999999999999</v>
      </c>
      <c r="F5" s="25"/>
      <c r="G5" s="59">
        <f>E5*F5</f>
        <v>0</v>
      </c>
    </row>
    <row r="6" spans="1:13" s="8" customFormat="1">
      <c r="A6" s="21" t="s">
        <v>12</v>
      </c>
      <c r="B6" s="10" t="s">
        <v>59</v>
      </c>
      <c r="C6" s="11" t="s">
        <v>1466</v>
      </c>
      <c r="D6" s="16" t="s">
        <v>11</v>
      </c>
      <c r="E6" s="17">
        <f>23.59*0.08</f>
        <v>1.8872</v>
      </c>
      <c r="F6" s="17"/>
      <c r="G6" s="59">
        <f>E6*F6</f>
        <v>0</v>
      </c>
    </row>
    <row r="7" spans="1:13" s="8" customFormat="1" ht="25.5">
      <c r="A7" s="21" t="s">
        <v>13</v>
      </c>
      <c r="B7" s="10" t="s">
        <v>154</v>
      </c>
      <c r="C7" s="11" t="s">
        <v>155</v>
      </c>
      <c r="D7" s="16" t="s">
        <v>11</v>
      </c>
      <c r="E7" s="17">
        <f>0.42*1.7*1.18*6+0.42*1.72*1.32*5</f>
        <v>9.8229599999999984</v>
      </c>
      <c r="F7" s="17"/>
      <c r="G7" s="59">
        <f>E7*F7</f>
        <v>0</v>
      </c>
    </row>
    <row r="8" spans="1:13" s="8" customFormat="1">
      <c r="A8" s="32" t="s">
        <v>77</v>
      </c>
      <c r="B8" s="106" t="s">
        <v>1299</v>
      </c>
      <c r="C8" s="107"/>
      <c r="D8" s="30"/>
      <c r="E8" s="30"/>
      <c r="F8" s="31"/>
      <c r="G8" s="62">
        <f>SUM(G9:G21)</f>
        <v>0</v>
      </c>
    </row>
    <row r="9" spans="1:13" s="8" customFormat="1" ht="38.25" customHeight="1">
      <c r="A9" s="21" t="s">
        <v>79</v>
      </c>
      <c r="B9" s="22" t="s">
        <v>277</v>
      </c>
      <c r="C9" s="23" t="s">
        <v>278</v>
      </c>
      <c r="D9" s="24" t="s">
        <v>31</v>
      </c>
      <c r="E9" s="25">
        <f>1.17*2.01*16</f>
        <v>37.627199999999995</v>
      </c>
      <c r="F9" s="25"/>
      <c r="G9" s="59">
        <f t="shared" ref="G9:G21" si="0">E9*F9</f>
        <v>0</v>
      </c>
      <c r="H9" s="100"/>
      <c r="I9" s="105"/>
      <c r="J9" s="105"/>
      <c r="K9" s="105"/>
      <c r="L9" s="105"/>
      <c r="M9" s="14"/>
    </row>
    <row r="10" spans="1:13" s="8" customFormat="1" ht="38.25">
      <c r="A10" s="21" t="s">
        <v>104</v>
      </c>
      <c r="B10" s="22" t="s">
        <v>277</v>
      </c>
      <c r="C10" s="23" t="s">
        <v>280</v>
      </c>
      <c r="D10" s="24" t="s">
        <v>31</v>
      </c>
      <c r="E10" s="25">
        <f>0.88*2.08*10</f>
        <v>18.304000000000002</v>
      </c>
      <c r="F10" s="25"/>
      <c r="G10" s="59">
        <f t="shared" si="0"/>
        <v>0</v>
      </c>
    </row>
    <row r="11" spans="1:13" s="8" customFormat="1" ht="25.5">
      <c r="A11" s="21" t="s">
        <v>119</v>
      </c>
      <c r="B11" s="22" t="s">
        <v>282</v>
      </c>
      <c r="C11" s="23" t="s">
        <v>283</v>
      </c>
      <c r="D11" s="24" t="s">
        <v>31</v>
      </c>
      <c r="E11" s="25">
        <f>0.88*2.08*2</f>
        <v>3.6608000000000001</v>
      </c>
      <c r="F11" s="25"/>
      <c r="G11" s="59">
        <f t="shared" si="0"/>
        <v>0</v>
      </c>
    </row>
    <row r="12" spans="1:13" s="8" customFormat="1" ht="38.25">
      <c r="A12" s="21" t="s">
        <v>875</v>
      </c>
      <c r="B12" s="22" t="s">
        <v>277</v>
      </c>
      <c r="C12" s="23" t="s">
        <v>285</v>
      </c>
      <c r="D12" s="24" t="s">
        <v>31</v>
      </c>
      <c r="E12" s="25">
        <f>1.22*1.75*4</f>
        <v>8.5399999999999991</v>
      </c>
      <c r="F12" s="25"/>
      <c r="G12" s="59">
        <f t="shared" si="0"/>
        <v>0</v>
      </c>
    </row>
    <row r="13" spans="1:13" s="8" customFormat="1" ht="38.25">
      <c r="A13" s="21" t="s">
        <v>876</v>
      </c>
      <c r="B13" s="22" t="s">
        <v>287</v>
      </c>
      <c r="C13" s="23" t="s">
        <v>288</v>
      </c>
      <c r="D13" s="24" t="s">
        <v>31</v>
      </c>
      <c r="E13" s="25">
        <f>0.86*1.13*2</f>
        <v>1.9435999999999998</v>
      </c>
      <c r="F13" s="25"/>
      <c r="G13" s="59">
        <f t="shared" si="0"/>
        <v>0</v>
      </c>
    </row>
    <row r="14" spans="1:13" s="8" customFormat="1" ht="25.5">
      <c r="A14" s="21" t="s">
        <v>877</v>
      </c>
      <c r="B14" s="22" t="s">
        <v>282</v>
      </c>
      <c r="C14" s="23" t="s">
        <v>290</v>
      </c>
      <c r="D14" s="24" t="s">
        <v>31</v>
      </c>
      <c r="E14" s="25">
        <f>0.86*1.13*2</f>
        <v>1.9435999999999998</v>
      </c>
      <c r="F14" s="25"/>
      <c r="G14" s="59">
        <f t="shared" si="0"/>
        <v>0</v>
      </c>
    </row>
    <row r="15" spans="1:13" s="8" customFormat="1" ht="38.25">
      <c r="A15" s="21" t="s">
        <v>878</v>
      </c>
      <c r="B15" s="22" t="s">
        <v>287</v>
      </c>
      <c r="C15" s="23" t="s">
        <v>292</v>
      </c>
      <c r="D15" s="24" t="s">
        <v>31</v>
      </c>
      <c r="E15" s="25">
        <f>0.82*1.13*2</f>
        <v>1.8531999999999997</v>
      </c>
      <c r="F15" s="25"/>
      <c r="G15" s="59">
        <f t="shared" si="0"/>
        <v>0</v>
      </c>
    </row>
    <row r="16" spans="1:13" s="8" customFormat="1" ht="25.5">
      <c r="A16" s="21" t="s">
        <v>880</v>
      </c>
      <c r="B16" s="22" t="s">
        <v>282</v>
      </c>
      <c r="C16" s="23" t="s">
        <v>294</v>
      </c>
      <c r="D16" s="24" t="s">
        <v>31</v>
      </c>
      <c r="E16" s="25">
        <f>0.82*1.13*2</f>
        <v>1.8531999999999997</v>
      </c>
      <c r="F16" s="25"/>
      <c r="G16" s="59">
        <f t="shared" si="0"/>
        <v>0</v>
      </c>
    </row>
    <row r="17" spans="1:13" s="8" customFormat="1" ht="38.25">
      <c r="A17" s="21" t="s">
        <v>881</v>
      </c>
      <c r="B17" s="22" t="s">
        <v>296</v>
      </c>
      <c r="C17" s="23" t="s">
        <v>297</v>
      </c>
      <c r="D17" s="24" t="s">
        <v>31</v>
      </c>
      <c r="E17" s="25">
        <f>0.9*0.53*8</f>
        <v>3.8160000000000003</v>
      </c>
      <c r="F17" s="25"/>
      <c r="G17" s="59">
        <f t="shared" si="0"/>
        <v>0</v>
      </c>
    </row>
    <row r="18" spans="1:13" s="8" customFormat="1" ht="38.25">
      <c r="A18" s="21" t="s">
        <v>884</v>
      </c>
      <c r="B18" s="22" t="s">
        <v>296</v>
      </c>
      <c r="C18" s="23" t="s">
        <v>299</v>
      </c>
      <c r="D18" s="24" t="s">
        <v>31</v>
      </c>
      <c r="E18" s="25">
        <f>0.86*0.53*3</f>
        <v>1.3674000000000002</v>
      </c>
      <c r="F18" s="25"/>
      <c r="G18" s="59">
        <f t="shared" si="0"/>
        <v>0</v>
      </c>
    </row>
    <row r="19" spans="1:13" s="8" customFormat="1" ht="25.5">
      <c r="A19" s="21" t="s">
        <v>885</v>
      </c>
      <c r="B19" s="22" t="s">
        <v>300</v>
      </c>
      <c r="C19" s="23" t="s">
        <v>1534</v>
      </c>
      <c r="D19" s="24" t="s">
        <v>31</v>
      </c>
      <c r="E19" s="25">
        <f>0.53*0.53*2</f>
        <v>0.56180000000000008</v>
      </c>
      <c r="F19" s="25"/>
      <c r="G19" s="59">
        <f t="shared" si="0"/>
        <v>0</v>
      </c>
    </row>
    <row r="20" spans="1:13" s="8" customFormat="1" ht="25.5">
      <c r="A20" s="21" t="s">
        <v>1394</v>
      </c>
      <c r="B20" s="22" t="s">
        <v>1535</v>
      </c>
      <c r="C20" s="23" t="s">
        <v>1536</v>
      </c>
      <c r="D20" s="24" t="s">
        <v>31</v>
      </c>
      <c r="E20" s="25">
        <f>2.35*2.05*1</f>
        <v>4.8174999999999999</v>
      </c>
      <c r="F20" s="25"/>
      <c r="G20" s="59">
        <f t="shared" si="0"/>
        <v>0</v>
      </c>
    </row>
    <row r="21" spans="1:13" s="8" customFormat="1">
      <c r="A21" s="21" t="s">
        <v>1395</v>
      </c>
      <c r="B21" s="22" t="s">
        <v>953</v>
      </c>
      <c r="C21" s="23" t="s">
        <v>1454</v>
      </c>
      <c r="D21" s="24" t="s">
        <v>11</v>
      </c>
      <c r="E21" s="25">
        <f>(37.627+18.304+3.661+8.54+1.944+1.944+1.853+1.853+3.816+1.367+0.562+4.818)*0.08</f>
        <v>6.9031200000000004</v>
      </c>
      <c r="F21" s="25"/>
      <c r="G21" s="59">
        <f t="shared" si="0"/>
        <v>0</v>
      </c>
    </row>
    <row r="22" spans="1:13" s="8" customFormat="1">
      <c r="A22" s="32" t="s">
        <v>133</v>
      </c>
      <c r="B22" s="106" t="s">
        <v>1300</v>
      </c>
      <c r="C22" s="107"/>
      <c r="D22" s="30"/>
      <c r="E22" s="30"/>
      <c r="F22" s="31"/>
      <c r="G22" s="63">
        <f>SUM(G23:G27)</f>
        <v>0</v>
      </c>
    </row>
    <row r="23" spans="1:13" s="8" customFormat="1">
      <c r="A23" s="21" t="s">
        <v>135</v>
      </c>
      <c r="B23" s="22" t="s">
        <v>1157</v>
      </c>
      <c r="C23" s="23" t="s">
        <v>1158</v>
      </c>
      <c r="D23" s="24" t="s">
        <v>31</v>
      </c>
      <c r="E23" s="25">
        <f>4.82+4.92+4.92</f>
        <v>14.66</v>
      </c>
      <c r="F23" s="25"/>
      <c r="G23" s="61">
        <f t="shared" ref="G23:G27" si="1">E23*F23</f>
        <v>0</v>
      </c>
    </row>
    <row r="24" spans="1:13" s="8" customFormat="1" ht="33" customHeight="1">
      <c r="A24" s="21" t="s">
        <v>152</v>
      </c>
      <c r="B24" s="22" t="s">
        <v>315</v>
      </c>
      <c r="C24" s="23" t="s">
        <v>319</v>
      </c>
      <c r="D24" s="24" t="s">
        <v>31</v>
      </c>
      <c r="E24" s="25">
        <f>2.35*2.05*1</f>
        <v>4.8174999999999999</v>
      </c>
      <c r="F24" s="25"/>
      <c r="G24" s="61">
        <f t="shared" si="1"/>
        <v>0</v>
      </c>
      <c r="H24" s="100"/>
      <c r="I24" s="105"/>
      <c r="J24" s="105"/>
      <c r="K24" s="105"/>
      <c r="L24" s="105"/>
      <c r="M24" s="56"/>
    </row>
    <row r="25" spans="1:13" s="8" customFormat="1">
      <c r="A25" s="21" t="s">
        <v>200</v>
      </c>
      <c r="B25" s="22" t="s">
        <v>315</v>
      </c>
      <c r="C25" s="23" t="s">
        <v>321</v>
      </c>
      <c r="D25" s="24" t="s">
        <v>31</v>
      </c>
      <c r="E25" s="25">
        <f>2.4*2.05*1</f>
        <v>4.919999999999999</v>
      </c>
      <c r="F25" s="25"/>
      <c r="G25" s="61">
        <f t="shared" si="1"/>
        <v>0</v>
      </c>
    </row>
    <row r="26" spans="1:13" s="8" customFormat="1">
      <c r="A26" s="21" t="s">
        <v>887</v>
      </c>
      <c r="B26" s="22" t="s">
        <v>315</v>
      </c>
      <c r="C26" s="23" t="s">
        <v>323</v>
      </c>
      <c r="D26" s="24" t="s">
        <v>31</v>
      </c>
      <c r="E26" s="25">
        <f>2.4*2.05*1</f>
        <v>4.919999999999999</v>
      </c>
      <c r="F26" s="25"/>
      <c r="G26" s="61">
        <f t="shared" si="1"/>
        <v>0</v>
      </c>
    </row>
    <row r="27" spans="1:13" s="8" customFormat="1">
      <c r="A27" s="21" t="s">
        <v>890</v>
      </c>
      <c r="B27" s="22" t="s">
        <v>953</v>
      </c>
      <c r="C27" s="23" t="s">
        <v>1454</v>
      </c>
      <c r="D27" s="24" t="s">
        <v>11</v>
      </c>
      <c r="E27" s="25">
        <f>14.66*0.1</f>
        <v>1.4660000000000002</v>
      </c>
      <c r="F27" s="25"/>
      <c r="G27" s="61">
        <f t="shared" si="1"/>
        <v>0</v>
      </c>
    </row>
    <row r="28" spans="1:13" s="8" customFormat="1">
      <c r="A28" s="32" t="s">
        <v>232</v>
      </c>
      <c r="B28" s="106" t="s">
        <v>1301</v>
      </c>
      <c r="C28" s="107"/>
      <c r="D28" s="30"/>
      <c r="E28" s="30"/>
      <c r="F28" s="31"/>
      <c r="G28" s="62">
        <f>SUM(G29:G48)</f>
        <v>0</v>
      </c>
      <c r="H28" s="53"/>
      <c r="I28" s="53"/>
    </row>
    <row r="29" spans="1:13" s="8" customFormat="1" ht="25.5">
      <c r="A29" s="21" t="s">
        <v>234</v>
      </c>
      <c r="B29" s="22" t="s">
        <v>59</v>
      </c>
      <c r="C29" s="23" t="s">
        <v>368</v>
      </c>
      <c r="D29" s="24" t="s">
        <v>197</v>
      </c>
      <c r="E29" s="25">
        <v>1</v>
      </c>
      <c r="F29" s="25"/>
      <c r="G29" s="61">
        <f t="shared" ref="G29:G48" si="2">E29*F29</f>
        <v>0</v>
      </c>
    </row>
    <row r="30" spans="1:13" s="8" customFormat="1" ht="25.5">
      <c r="A30" s="21" t="s">
        <v>244</v>
      </c>
      <c r="B30" s="22" t="s">
        <v>342</v>
      </c>
      <c r="C30" s="23" t="s">
        <v>343</v>
      </c>
      <c r="D30" s="24" t="s">
        <v>31</v>
      </c>
      <c r="E30" s="25">
        <f>0.05*((9.67*16.93+2.82*10.65)+(9.82+9.58)*2-(0.88*2.08*2+0.77*2.1)+2*(4.12+4.31)-(0.82*1.13*2+0.86*1.13*2+0.53*0.53))</f>
        <v>12.00253</v>
      </c>
      <c r="F30" s="25"/>
      <c r="G30" s="61">
        <f t="shared" si="2"/>
        <v>0</v>
      </c>
    </row>
    <row r="31" spans="1:13" s="8" customFormat="1" ht="25.5">
      <c r="A31" s="21" t="s">
        <v>263</v>
      </c>
      <c r="B31" s="22" t="s">
        <v>337</v>
      </c>
      <c r="C31" s="23" t="s">
        <v>371</v>
      </c>
      <c r="D31" s="24" t="s">
        <v>31</v>
      </c>
      <c r="E31" s="25">
        <f>((9.67*16.93+2.82*10.65)+(9.82+9.58)*2-(0.88*2.08*2+0.77*2.1)+2*(4.12+4.31)-(0.82*1.13*2+0.86*1.13*2+0.53*0.53))</f>
        <v>240.05059999999997</v>
      </c>
      <c r="F31" s="25"/>
      <c r="G31" s="61">
        <f t="shared" si="2"/>
        <v>0</v>
      </c>
    </row>
    <row r="32" spans="1:13" s="8" customFormat="1" ht="25.5">
      <c r="A32" s="21" t="s">
        <v>904</v>
      </c>
      <c r="B32" s="22" t="s">
        <v>373</v>
      </c>
      <c r="C32" s="23" t="s">
        <v>374</v>
      </c>
      <c r="D32" s="24" t="s">
        <v>31</v>
      </c>
      <c r="E32" s="25">
        <v>240.05</v>
      </c>
      <c r="F32" s="25"/>
      <c r="G32" s="61">
        <f t="shared" si="2"/>
        <v>0</v>
      </c>
    </row>
    <row r="33" spans="1:7" s="8" customFormat="1">
      <c r="A33" s="21" t="s">
        <v>905</v>
      </c>
      <c r="B33" s="22" t="s">
        <v>1330</v>
      </c>
      <c r="C33" s="23" t="s">
        <v>1331</v>
      </c>
      <c r="D33" s="24" t="s">
        <v>52</v>
      </c>
      <c r="E33" s="25">
        <f>16.93+2*2</f>
        <v>20.93</v>
      </c>
      <c r="F33" s="25"/>
      <c r="G33" s="61">
        <f t="shared" ref="G33" si="3">E33*F33</f>
        <v>0</v>
      </c>
    </row>
    <row r="34" spans="1:7" s="8" customFormat="1" ht="25.5">
      <c r="A34" s="21" t="s">
        <v>908</v>
      </c>
      <c r="B34" s="22" t="s">
        <v>376</v>
      </c>
      <c r="C34" s="23" t="s">
        <v>377</v>
      </c>
      <c r="D34" s="24" t="s">
        <v>31</v>
      </c>
      <c r="E34" s="25">
        <v>240.05</v>
      </c>
      <c r="F34" s="25"/>
      <c r="G34" s="61">
        <f t="shared" si="2"/>
        <v>0</v>
      </c>
    </row>
    <row r="35" spans="1:7" s="8" customFormat="1">
      <c r="A35" s="21" t="s">
        <v>911</v>
      </c>
      <c r="B35" s="22" t="s">
        <v>379</v>
      </c>
      <c r="C35" s="23" t="s">
        <v>380</v>
      </c>
      <c r="D35" s="24" t="s">
        <v>31</v>
      </c>
      <c r="E35" s="25">
        <f>0.35*((2.08*2+0.88)*2+(2.1*2+1.18)+(0.82+1.13*2)*2+(0.86+1.13*2)*2+0.53*3)</f>
        <v>10.307499999999999</v>
      </c>
      <c r="F35" s="25"/>
      <c r="G35" s="61">
        <f t="shared" si="2"/>
        <v>0</v>
      </c>
    </row>
    <row r="36" spans="1:7" s="8" customFormat="1" ht="25.5">
      <c r="A36" s="21" t="s">
        <v>912</v>
      </c>
      <c r="B36" s="22" t="s">
        <v>1213</v>
      </c>
      <c r="C36" s="23" t="s">
        <v>1212</v>
      </c>
      <c r="D36" s="24" t="s">
        <v>31</v>
      </c>
      <c r="E36" s="25">
        <v>240.05</v>
      </c>
      <c r="F36" s="25"/>
      <c r="G36" s="61">
        <f t="shared" si="2"/>
        <v>0</v>
      </c>
    </row>
    <row r="37" spans="1:7" s="8" customFormat="1">
      <c r="A37" s="21" t="s">
        <v>914</v>
      </c>
      <c r="B37" s="22" t="s">
        <v>382</v>
      </c>
      <c r="C37" s="23" t="s">
        <v>383</v>
      </c>
      <c r="D37" s="24" t="s">
        <v>31</v>
      </c>
      <c r="E37" s="25">
        <f>((9.67*17.11+2.82*10.83)+(9.82+9.58)*2-(0.88*2.08*2+0.77*2.1)+2*(4.12+4.31)-(0.82*1.13*2+0.86*1.13*2+0.53*0.53))</f>
        <v>242.29880000000003</v>
      </c>
      <c r="F37" s="25"/>
      <c r="G37" s="61">
        <f t="shared" si="2"/>
        <v>0</v>
      </c>
    </row>
    <row r="38" spans="1:7" s="8" customFormat="1">
      <c r="A38" s="21" t="s">
        <v>1288</v>
      </c>
      <c r="B38" s="22" t="s">
        <v>413</v>
      </c>
      <c r="C38" s="23" t="s">
        <v>1160</v>
      </c>
      <c r="D38" s="24" t="s">
        <v>31</v>
      </c>
      <c r="E38" s="25">
        <f>2*(17.11+2*2-1.18-0.53*0.53)</f>
        <v>39.298200000000001</v>
      </c>
      <c r="F38" s="25"/>
      <c r="G38" s="61">
        <f t="shared" si="2"/>
        <v>0</v>
      </c>
    </row>
    <row r="39" spans="1:7" s="8" customFormat="1">
      <c r="A39" s="21" t="s">
        <v>1289</v>
      </c>
      <c r="B39" s="22" t="s">
        <v>385</v>
      </c>
      <c r="C39" s="23" t="s">
        <v>386</v>
      </c>
      <c r="D39" s="24" t="s">
        <v>31</v>
      </c>
      <c r="E39" s="25">
        <v>10.31</v>
      </c>
      <c r="F39" s="25"/>
      <c r="G39" s="61">
        <f t="shared" si="2"/>
        <v>0</v>
      </c>
    </row>
    <row r="40" spans="1:7" s="8" customFormat="1" ht="25.5">
      <c r="A40" s="21" t="s">
        <v>1290</v>
      </c>
      <c r="B40" s="22" t="s">
        <v>388</v>
      </c>
      <c r="C40" s="23" t="s">
        <v>389</v>
      </c>
      <c r="D40" s="24" t="s">
        <v>52</v>
      </c>
      <c r="E40" s="25">
        <f>9.67*2+(0.88+2.08*2)*2+(1.18+2.1*2)+(0.82+1.13*2)*2+(0.86+1.13*2)*2+0.53*3</f>
        <v>48.790000000000006</v>
      </c>
      <c r="F40" s="25"/>
      <c r="G40" s="61">
        <f t="shared" si="2"/>
        <v>0</v>
      </c>
    </row>
    <row r="41" spans="1:7" s="8" customFormat="1" ht="25.5">
      <c r="A41" s="21" t="s">
        <v>1291</v>
      </c>
      <c r="B41" s="22" t="s">
        <v>391</v>
      </c>
      <c r="C41" s="23" t="s">
        <v>1338</v>
      </c>
      <c r="D41" s="24" t="s">
        <v>31</v>
      </c>
      <c r="E41" s="25">
        <f>((9.67*17.11+2.82*10.83)+(9.82+9.58)*2-(0.88*2.08*2+0.77*2.1)+2*(4.12+4.31)-(0.82*1.13*2+0.86*1.13*2+0.53*0.53))</f>
        <v>242.29880000000003</v>
      </c>
      <c r="F41" s="25"/>
      <c r="G41" s="61">
        <f t="shared" si="2"/>
        <v>0</v>
      </c>
    </row>
    <row r="42" spans="1:7" s="8" customFormat="1" ht="25.5">
      <c r="A42" s="21" t="s">
        <v>1292</v>
      </c>
      <c r="B42" s="22" t="s">
        <v>393</v>
      </c>
      <c r="C42" s="23" t="s">
        <v>1337</v>
      </c>
      <c r="D42" s="24" t="s">
        <v>31</v>
      </c>
      <c r="E42" s="25">
        <v>10.31</v>
      </c>
      <c r="F42" s="25"/>
      <c r="G42" s="61">
        <f t="shared" si="2"/>
        <v>0</v>
      </c>
    </row>
    <row r="43" spans="1:7" s="8" customFormat="1" ht="25.5">
      <c r="A43" s="21" t="s">
        <v>1293</v>
      </c>
      <c r="B43" s="22" t="s">
        <v>394</v>
      </c>
      <c r="C43" s="23" t="s">
        <v>1339</v>
      </c>
      <c r="D43" s="24" t="s">
        <v>31</v>
      </c>
      <c r="E43" s="25">
        <v>242.3</v>
      </c>
      <c r="F43" s="25"/>
      <c r="G43" s="61">
        <f t="shared" si="2"/>
        <v>0</v>
      </c>
    </row>
    <row r="44" spans="1:7" s="8" customFormat="1" ht="25.5">
      <c r="A44" s="21" t="s">
        <v>1294</v>
      </c>
      <c r="B44" s="22" t="s">
        <v>396</v>
      </c>
      <c r="C44" s="23" t="s">
        <v>1340</v>
      </c>
      <c r="D44" s="24" t="s">
        <v>31</v>
      </c>
      <c r="E44" s="25">
        <v>10.31</v>
      </c>
      <c r="F44" s="25"/>
      <c r="G44" s="61">
        <f t="shared" si="2"/>
        <v>0</v>
      </c>
    </row>
    <row r="45" spans="1:7" s="8" customFormat="1" ht="25.5">
      <c r="A45" s="21" t="s">
        <v>1295</v>
      </c>
      <c r="B45" s="22" t="s">
        <v>1335</v>
      </c>
      <c r="C45" s="23" t="s">
        <v>1336</v>
      </c>
      <c r="D45" s="24" t="s">
        <v>31</v>
      </c>
      <c r="E45" s="25">
        <f>242.3+10.31</f>
        <v>252.61</v>
      </c>
      <c r="F45" s="25"/>
      <c r="G45" s="61">
        <f t="shared" ref="G45" si="4">E45*F45</f>
        <v>0</v>
      </c>
    </row>
    <row r="46" spans="1:7" s="8" customFormat="1" ht="25.5">
      <c r="A46" s="21" t="s">
        <v>1296</v>
      </c>
      <c r="B46" s="22" t="s">
        <v>397</v>
      </c>
      <c r="C46" s="23" t="s">
        <v>398</v>
      </c>
      <c r="D46" s="24" t="s">
        <v>31</v>
      </c>
      <c r="E46" s="25">
        <f>0.4*(0.8*2+0.89*4+0.6)</f>
        <v>2.3039999999999998</v>
      </c>
      <c r="F46" s="25"/>
      <c r="G46" s="61">
        <f t="shared" si="2"/>
        <v>0</v>
      </c>
    </row>
    <row r="47" spans="1:7" s="8" customFormat="1">
      <c r="A47" s="21" t="s">
        <v>1297</v>
      </c>
      <c r="B47" s="22" t="s">
        <v>399</v>
      </c>
      <c r="C47" s="23" t="s">
        <v>400</v>
      </c>
      <c r="D47" s="24" t="s">
        <v>31</v>
      </c>
      <c r="E47" s="25">
        <f>((9.67*17.11+2.82*10.83)+(9.82+9.58)*2+2*8.1*2)</f>
        <v>267.1943</v>
      </c>
      <c r="F47" s="25"/>
      <c r="G47" s="61">
        <f t="shared" ref="G47" si="5">E47*F47</f>
        <v>0</v>
      </c>
    </row>
    <row r="48" spans="1:7" s="8" customFormat="1">
      <c r="A48" s="21" t="s">
        <v>1298</v>
      </c>
      <c r="B48" s="22" t="s">
        <v>1327</v>
      </c>
      <c r="C48" s="23" t="s">
        <v>1328</v>
      </c>
      <c r="D48" s="24" t="s">
        <v>31</v>
      </c>
      <c r="E48" s="25">
        <f>((9.67*17.11+2.82*10.83)+(9.82+9.58)*2+2*8.1*2)</f>
        <v>267.1943</v>
      </c>
      <c r="F48" s="25"/>
      <c r="G48" s="61">
        <f t="shared" si="2"/>
        <v>0</v>
      </c>
    </row>
    <row r="49" spans="1:8" s="8" customFormat="1">
      <c r="A49" s="32" t="s">
        <v>275</v>
      </c>
      <c r="B49" s="106" t="s">
        <v>1302</v>
      </c>
      <c r="C49" s="107"/>
      <c r="D49" s="107"/>
      <c r="E49" s="107"/>
      <c r="F49" s="108"/>
      <c r="G49" s="62">
        <f>SUM(G50:G73)</f>
        <v>0</v>
      </c>
      <c r="H49" s="53"/>
    </row>
    <row r="50" spans="1:8" s="8" customFormat="1" ht="25.5">
      <c r="A50" s="21" t="s">
        <v>276</v>
      </c>
      <c r="B50" s="22" t="s">
        <v>59</v>
      </c>
      <c r="C50" s="23" t="s">
        <v>368</v>
      </c>
      <c r="D50" s="24" t="s">
        <v>197</v>
      </c>
      <c r="E50" s="25">
        <v>1</v>
      </c>
      <c r="F50" s="25"/>
      <c r="G50" s="61">
        <f t="shared" ref="G50:G72" si="6">E50*F50</f>
        <v>0</v>
      </c>
    </row>
    <row r="51" spans="1:8" s="8" customFormat="1" ht="25.5">
      <c r="A51" s="21" t="s">
        <v>279</v>
      </c>
      <c r="B51" s="22" t="s">
        <v>342</v>
      </c>
      <c r="C51" s="23" t="s">
        <v>343</v>
      </c>
      <c r="D51" s="24" t="s">
        <v>31</v>
      </c>
      <c r="E51" s="25">
        <f>0.05*(9.46*6.9-(0.88*2.08*2+0.53*0.53+0.86*0.53*3)+9.82*6.9+8.77*0.36-(0.41*2.1+1.22*1.75*2*2)+8.62*(5.96+14.45)+2.4*(1.54+3.63+0.86)+6.16*(0.25*4+3.67)+1.34*(1.37+0.48+1.06+0.79+0.48+0.66)+4.55*(0.34+0.42+0.5*2+0.73+2.66)+0.65*3.5+0.5*0.68*2.68-(0.9*0.53*8+0.88*2.08*4+1.17*2.01*8+2.37*2.05+0.88*2.08*4+1.17*2.01*8+2.37*(2.05+2.05))+4.12*(2.05+11.36-2+4.47)+4.31*(0.54+8.56-2+3.07)-(0.86*1.13*2+0.82*1.13*2))</f>
        <v>20.427819999999997</v>
      </c>
      <c r="F51" s="25"/>
      <c r="G51" s="61">
        <f t="shared" si="6"/>
        <v>0</v>
      </c>
    </row>
    <row r="52" spans="1:8" s="8" customFormat="1" ht="25.5">
      <c r="A52" s="21" t="s">
        <v>281</v>
      </c>
      <c r="B52" s="22" t="s">
        <v>337</v>
      </c>
      <c r="C52" s="23" t="s">
        <v>371</v>
      </c>
      <c r="D52" s="24" t="s">
        <v>31</v>
      </c>
      <c r="E52" s="25">
        <f>9.46*6.9-(0.88*2.08*2+0.53*0.53+0.86*0.53*3)+9.82*6.9+8.77*0.36-(0.41*2.1+1.22*1.75*2*2)+8.62*(5.96+14.45)+2.4*(1.54+3.63+0.86)+1.34*(1.37+0.48+1.06+0.79+0.48+0.66)+6.16*(0.25*4+3.92)+4.55*(0.34+0.42+0.5*2+0.73+2.66)+0.65*3.5+0.5*0.68*2.68-(0.9*0.53*8+0.88*2.08*4+1.17*2.01*8+2.37*2.05+0.88*2.08*4+1.17*2.01*8+2.37*(2.05+2.05))+4.12*(2.05+11.36-2+4.47)+4.31*(0.54+8.56-2+3.07)-(0.86*1.13*2+0.82*1.13*2)+3.5*(4.6+5.35*2)-1.4*1.45</f>
        <v>461.61639999999994</v>
      </c>
      <c r="F52" s="25"/>
      <c r="G52" s="61">
        <f t="shared" si="6"/>
        <v>0</v>
      </c>
    </row>
    <row r="53" spans="1:8" s="8" customFormat="1" ht="25.5">
      <c r="A53" s="21" t="s">
        <v>284</v>
      </c>
      <c r="B53" s="22" t="s">
        <v>373</v>
      </c>
      <c r="C53" s="23" t="s">
        <v>374</v>
      </c>
      <c r="D53" s="24" t="s">
        <v>31</v>
      </c>
      <c r="E53" s="25">
        <v>461.62</v>
      </c>
      <c r="F53" s="25"/>
      <c r="G53" s="61">
        <f t="shared" si="6"/>
        <v>0</v>
      </c>
    </row>
    <row r="54" spans="1:8" s="8" customFormat="1">
      <c r="A54" s="21" t="s">
        <v>286</v>
      </c>
      <c r="B54" s="22" t="s">
        <v>1330</v>
      </c>
      <c r="C54" s="23" t="s">
        <v>1331</v>
      </c>
      <c r="D54" s="24" t="s">
        <v>52</v>
      </c>
      <c r="E54" s="25">
        <f>6.9*2+5.96+14.45+1.54+3.63+0.86+1.37+0.48+1.06+0.79+0.48+0.66+0.34+0.42+0.5*2+0.73+2.66</f>
        <v>50.22999999999999</v>
      </c>
      <c r="F54" s="25"/>
      <c r="G54" s="61">
        <f t="shared" si="6"/>
        <v>0</v>
      </c>
    </row>
    <row r="55" spans="1:8" s="8" customFormat="1">
      <c r="A55" s="21" t="s">
        <v>289</v>
      </c>
      <c r="B55" s="22" t="s">
        <v>407</v>
      </c>
      <c r="C55" s="23" t="s">
        <v>408</v>
      </c>
      <c r="D55" s="24" t="s">
        <v>31</v>
      </c>
      <c r="E55" s="25">
        <v>461.62</v>
      </c>
      <c r="F55" s="25"/>
      <c r="G55" s="61">
        <f t="shared" si="6"/>
        <v>0</v>
      </c>
    </row>
    <row r="56" spans="1:8" s="8" customFormat="1">
      <c r="A56" s="21" t="s">
        <v>291</v>
      </c>
      <c r="B56" s="22" t="s">
        <v>410</v>
      </c>
      <c r="C56" s="23" t="s">
        <v>411</v>
      </c>
      <c r="D56" s="24" t="s">
        <v>31</v>
      </c>
      <c r="E56" s="25">
        <f>0.35*((0.88+2*2.08)*2+(0.53+2*0.53)+(0.86+2*0.53)*3+(1.22+2*1.75)*2*2+(0.9+2*0.53)*8+(0.88+2*2.08)*4+(1.17+2*2.01)*8+(2.37+2*2.05)+(0.88+2*2.08)*4+(1.17+2*2.01)*8+2.37*2+(2.05*2+2.05*2)+(0.86+2*1.13)*2+(0.82+2*1.13)*2+(1.4*2+1.45))</f>
        <v>73.993499999999997</v>
      </c>
      <c r="F56" s="25"/>
      <c r="G56" s="61">
        <f t="shared" si="6"/>
        <v>0</v>
      </c>
    </row>
    <row r="57" spans="1:8" s="8" customFormat="1" ht="25.5">
      <c r="A57" s="21" t="s">
        <v>293</v>
      </c>
      <c r="B57" s="22" t="s">
        <v>1213</v>
      </c>
      <c r="C57" s="23" t="s">
        <v>1214</v>
      </c>
      <c r="D57" s="24" t="s">
        <v>31</v>
      </c>
      <c r="E57" s="25">
        <v>461.62</v>
      </c>
      <c r="F57" s="25"/>
      <c r="G57" s="61">
        <f t="shared" si="6"/>
        <v>0</v>
      </c>
    </row>
    <row r="58" spans="1:8" s="8" customFormat="1">
      <c r="A58" s="21" t="s">
        <v>295</v>
      </c>
      <c r="B58" s="22" t="s">
        <v>413</v>
      </c>
      <c r="C58" s="23" t="s">
        <v>383</v>
      </c>
      <c r="D58" s="24" t="s">
        <v>31</v>
      </c>
      <c r="E58" s="25">
        <f>9.46*6.9-(0.88*2.08*2+0.53*0.53+0.86*0.53*3)+9.82*6.9+8.77*0.36-(0.41*2.1+1.22*1.75*2*2)+8.62*(5.96+14.45)+2.4*(1.54+3.98+0.86)+1.34*(1.37+0.84+1.06+0.79+0.84+0.66)+6.16*(0.43*4+3.92)+4.55*(0.85+0.78+0.5*2+0.73+2.3)+0.65*3.86+0.5*0.68*2.68-(0.9*0.53*8+0.88*2.08*4+1.17*2.01*8+2.37*2.05+0.88*2.08*4+1.17*2.01*8+2.37*(2.05+2.05))+4.12*(2.05+11.36-2+4.47)+4.31*(0.54+8.56-2+3.07)-(0.86*1.13*2+0.82*1.13*2)+3.5*(4.96+5.53*2)-1.45*1.4</f>
        <v>472.93090000000001</v>
      </c>
      <c r="F58" s="25"/>
      <c r="G58" s="61">
        <f t="shared" si="6"/>
        <v>0</v>
      </c>
    </row>
    <row r="59" spans="1:8" s="8" customFormat="1">
      <c r="A59" s="21" t="s">
        <v>298</v>
      </c>
      <c r="B59" s="22" t="s">
        <v>413</v>
      </c>
      <c r="C59" s="23" t="s">
        <v>1160</v>
      </c>
      <c r="D59" s="24" t="s">
        <v>31</v>
      </c>
      <c r="E59" s="25">
        <f>2*6.9-(0.53*0.53+0.86*0.53*3)+2*6.9+2*0.36-(0.41*2)+2*(5.96+14.45)+2.4*(1.54+3.63+0.86)+2*(0.34+0.42+0.5*2+0.73+2.66)-(0.9*0.53*8+0.88*2.08*4+2.37*2)</f>
        <v>75.566099999999992</v>
      </c>
      <c r="F59" s="25"/>
      <c r="G59" s="61">
        <f t="shared" si="6"/>
        <v>0</v>
      </c>
    </row>
    <row r="60" spans="1:8" s="8" customFormat="1">
      <c r="A60" s="21" t="s">
        <v>1397</v>
      </c>
      <c r="B60" s="22" t="s">
        <v>385</v>
      </c>
      <c r="C60" s="23" t="s">
        <v>386</v>
      </c>
      <c r="D60" s="24" t="s">
        <v>31</v>
      </c>
      <c r="E60" s="25">
        <v>73.989999999999995</v>
      </c>
      <c r="F60" s="25"/>
      <c r="G60" s="61">
        <f t="shared" si="6"/>
        <v>0</v>
      </c>
    </row>
    <row r="61" spans="1:8" s="8" customFormat="1" ht="25.5">
      <c r="A61" s="21" t="s">
        <v>1398</v>
      </c>
      <c r="B61" s="22" t="s">
        <v>388</v>
      </c>
      <c r="C61" s="23" t="s">
        <v>389</v>
      </c>
      <c r="D61" s="24" t="s">
        <v>52</v>
      </c>
      <c r="E61" s="25">
        <f>((0.88+2*2.08)*2+(0.53+2*0.53)+(0.86+2*0.53)*3+(1.22+2*1.75)*2*2+(0.9+2*0.53)*8+(0.88+2*2.08)*4+(1.17+2*2.01)*8+(2.37+2*2.05)+(0.88+2*2.08)*4+(1.17+2*2.01)*8+2.37*2+(2.05*2+2.05*2)+(0.86+2*1.13)*2+(0.82+2*1.13)*2)+9.33+0.65+4.55+4.12*2+3.74*4+6.11*4+(1.4*2+1.45)+3.5*2</f>
        <v>280.58000000000004</v>
      </c>
      <c r="F61" s="25"/>
      <c r="G61" s="61">
        <f t="shared" si="6"/>
        <v>0</v>
      </c>
    </row>
    <row r="62" spans="1:8" s="8" customFormat="1" ht="25.5">
      <c r="A62" s="21" t="s">
        <v>1399</v>
      </c>
      <c r="B62" s="22" t="s">
        <v>391</v>
      </c>
      <c r="C62" s="23" t="s">
        <v>1338</v>
      </c>
      <c r="D62" s="24" t="s">
        <v>31</v>
      </c>
      <c r="E62" s="25">
        <v>472.93</v>
      </c>
      <c r="F62" s="25"/>
      <c r="G62" s="61">
        <f t="shared" si="6"/>
        <v>0</v>
      </c>
    </row>
    <row r="63" spans="1:8" s="8" customFormat="1" ht="25.5">
      <c r="A63" s="21" t="s">
        <v>1400</v>
      </c>
      <c r="B63" s="22" t="s">
        <v>393</v>
      </c>
      <c r="C63" s="23" t="s">
        <v>1337</v>
      </c>
      <c r="D63" s="24" t="s">
        <v>31</v>
      </c>
      <c r="E63" s="25">
        <v>73.989999999999995</v>
      </c>
      <c r="F63" s="25"/>
      <c r="G63" s="61">
        <f t="shared" si="6"/>
        <v>0</v>
      </c>
    </row>
    <row r="64" spans="1:8" s="8" customFormat="1" ht="25.5">
      <c r="A64" s="21" t="s">
        <v>1401</v>
      </c>
      <c r="B64" s="22" t="s">
        <v>394</v>
      </c>
      <c r="C64" s="23" t="s">
        <v>1339</v>
      </c>
      <c r="D64" s="24" t="s">
        <v>31</v>
      </c>
      <c r="E64" s="25">
        <v>472.93</v>
      </c>
      <c r="F64" s="25"/>
      <c r="G64" s="61">
        <f t="shared" si="6"/>
        <v>0</v>
      </c>
    </row>
    <row r="65" spans="1:7" s="8" customFormat="1" ht="25.5">
      <c r="A65" s="21" t="s">
        <v>1402</v>
      </c>
      <c r="B65" s="22" t="s">
        <v>396</v>
      </c>
      <c r="C65" s="23" t="s">
        <v>1341</v>
      </c>
      <c r="D65" s="24" t="s">
        <v>31</v>
      </c>
      <c r="E65" s="25">
        <v>73.989999999999995</v>
      </c>
      <c r="F65" s="25"/>
      <c r="G65" s="61">
        <f t="shared" si="6"/>
        <v>0</v>
      </c>
    </row>
    <row r="66" spans="1:7" s="8" customFormat="1" ht="25.5">
      <c r="A66" s="21" t="s">
        <v>1403</v>
      </c>
      <c r="B66" s="22" t="s">
        <v>1335</v>
      </c>
      <c r="C66" s="23" t="s">
        <v>1336</v>
      </c>
      <c r="D66" s="24" t="s">
        <v>31</v>
      </c>
      <c r="E66" s="25">
        <f>472.92+73.99</f>
        <v>546.91</v>
      </c>
      <c r="F66" s="25"/>
      <c r="G66" s="61">
        <f t="shared" si="6"/>
        <v>0</v>
      </c>
    </row>
    <row r="67" spans="1:7" s="8" customFormat="1" ht="25.5">
      <c r="A67" s="21" t="s">
        <v>1404</v>
      </c>
      <c r="B67" s="22" t="s">
        <v>397</v>
      </c>
      <c r="C67" s="23" t="s">
        <v>398</v>
      </c>
      <c r="D67" s="24" t="s">
        <v>31</v>
      </c>
      <c r="E67" s="25">
        <f>0.4*(0.6+0.9*3+0.92*8+0.8*10+1.12*16+1.26*4+0.89*4+2.41+1.45)</f>
        <v>19.616000000000003</v>
      </c>
      <c r="F67" s="25"/>
      <c r="G67" s="61">
        <f t="shared" si="6"/>
        <v>0</v>
      </c>
    </row>
    <row r="68" spans="1:7" s="8" customFormat="1">
      <c r="A68" s="21" t="s">
        <v>1405</v>
      </c>
      <c r="B68" s="22" t="s">
        <v>399</v>
      </c>
      <c r="C68" s="23" t="s">
        <v>400</v>
      </c>
      <c r="D68" s="24" t="s">
        <v>31</v>
      </c>
      <c r="E68" s="25">
        <f>9.46*6.9+9.82*6.9+8.77*0.36+8.62*(5.96+14.45)+2.4*(1.54+3.63+0.86)+1.34*(1.37+0.48+1.06+0.79+0.48+0.66)+6.16*(0.25*4+3.92)+4.55*(0.34+0.42+0.5*2+0.73+2.66)+0.65*3.5+0.5*0.68*2.68+8.1*(2.05+11.36-2+4.47)+8.1*(0.54+8.56-2+3.07)</f>
        <v>601.01189999999997</v>
      </c>
      <c r="F68" s="25"/>
      <c r="G68" s="61">
        <f t="shared" si="6"/>
        <v>0</v>
      </c>
    </row>
    <row r="69" spans="1:7" s="8" customFormat="1">
      <c r="A69" s="21" t="s">
        <v>1406</v>
      </c>
      <c r="B69" s="22" t="s">
        <v>1327</v>
      </c>
      <c r="C69" s="23" t="s">
        <v>1328</v>
      </c>
      <c r="D69" s="24" t="s">
        <v>31</v>
      </c>
      <c r="E69" s="25">
        <v>601.01</v>
      </c>
      <c r="F69" s="25"/>
      <c r="G69" s="61">
        <f t="shared" si="6"/>
        <v>0</v>
      </c>
    </row>
    <row r="70" spans="1:7" s="8" customFormat="1">
      <c r="A70" s="21" t="s">
        <v>1407</v>
      </c>
      <c r="B70" s="22" t="s">
        <v>413</v>
      </c>
      <c r="C70" s="23" t="s">
        <v>423</v>
      </c>
      <c r="D70" s="24" t="s">
        <v>31</v>
      </c>
      <c r="E70" s="25">
        <f>2*4*4.5+4.5*4.5</f>
        <v>56.25</v>
      </c>
      <c r="F70" s="25"/>
      <c r="G70" s="61">
        <f t="shared" si="6"/>
        <v>0</v>
      </c>
    </row>
    <row r="71" spans="1:7" s="8" customFormat="1" ht="25.5">
      <c r="A71" s="21" t="s">
        <v>1408</v>
      </c>
      <c r="B71" s="22" t="s">
        <v>388</v>
      </c>
      <c r="C71" s="23" t="s">
        <v>389</v>
      </c>
      <c r="D71" s="24" t="s">
        <v>52</v>
      </c>
      <c r="E71" s="25">
        <f>4.5*16+4.5*5</f>
        <v>94.5</v>
      </c>
      <c r="F71" s="25"/>
      <c r="G71" s="61">
        <f t="shared" si="6"/>
        <v>0</v>
      </c>
    </row>
    <row r="72" spans="1:7" s="8" customFormat="1" ht="25.5">
      <c r="A72" s="21" t="s">
        <v>1409</v>
      </c>
      <c r="B72" s="22" t="s">
        <v>394</v>
      </c>
      <c r="C72" s="23" t="s">
        <v>395</v>
      </c>
      <c r="D72" s="24" t="s">
        <v>31</v>
      </c>
      <c r="E72" s="25">
        <f>2*4*4.5+4.5*4.5</f>
        <v>56.25</v>
      </c>
      <c r="F72" s="25"/>
      <c r="G72" s="61">
        <f t="shared" si="6"/>
        <v>0</v>
      </c>
    </row>
    <row r="73" spans="1:7" s="8" customFormat="1" ht="25.5">
      <c r="A73" s="21" t="s">
        <v>1465</v>
      </c>
      <c r="B73" s="22" t="s">
        <v>1335</v>
      </c>
      <c r="C73" s="23" t="s">
        <v>1336</v>
      </c>
      <c r="D73" s="24" t="s">
        <v>31</v>
      </c>
      <c r="E73" s="25">
        <v>56.25</v>
      </c>
      <c r="F73" s="25"/>
      <c r="G73" s="61">
        <f t="shared" ref="G73" si="7">E73*F73</f>
        <v>0</v>
      </c>
    </row>
    <row r="74" spans="1:7" s="8" customFormat="1">
      <c r="A74" s="32" t="s">
        <v>301</v>
      </c>
      <c r="B74" s="106" t="s">
        <v>1303</v>
      </c>
      <c r="C74" s="107"/>
      <c r="D74" s="107"/>
      <c r="E74" s="107"/>
      <c r="F74" s="108"/>
      <c r="G74" s="62">
        <f>SUM(G75:G82)</f>
        <v>0</v>
      </c>
    </row>
    <row r="75" spans="1:7" s="8" customFormat="1" ht="25.5">
      <c r="A75" s="21" t="s">
        <v>302</v>
      </c>
      <c r="B75" s="22" t="s">
        <v>337</v>
      </c>
      <c r="C75" s="23" t="s">
        <v>371</v>
      </c>
      <c r="D75" s="24" t="s">
        <v>31</v>
      </c>
      <c r="E75" s="25">
        <v>53.86</v>
      </c>
      <c r="F75" s="25"/>
      <c r="G75" s="61">
        <f t="shared" ref="G75:G82" si="8">E75*F75</f>
        <v>0</v>
      </c>
    </row>
    <row r="76" spans="1:7" s="8" customFormat="1" ht="25.5">
      <c r="A76" s="21" t="s">
        <v>305</v>
      </c>
      <c r="B76" s="22" t="s">
        <v>373</v>
      </c>
      <c r="C76" s="23" t="s">
        <v>374</v>
      </c>
      <c r="D76" s="24" t="s">
        <v>31</v>
      </c>
      <c r="E76" s="25">
        <v>53.86</v>
      </c>
      <c r="F76" s="25"/>
      <c r="G76" s="61">
        <f t="shared" si="8"/>
        <v>0</v>
      </c>
    </row>
    <row r="77" spans="1:7" s="8" customFormat="1">
      <c r="A77" s="21" t="s">
        <v>306</v>
      </c>
      <c r="B77" s="22" t="s">
        <v>407</v>
      </c>
      <c r="C77" s="23" t="s">
        <v>1218</v>
      </c>
      <c r="D77" s="24" t="s">
        <v>31</v>
      </c>
      <c r="E77" s="25">
        <v>53.86</v>
      </c>
      <c r="F77" s="25"/>
      <c r="G77" s="61">
        <f t="shared" si="8"/>
        <v>0</v>
      </c>
    </row>
    <row r="78" spans="1:7" s="8" customFormat="1" ht="25.5">
      <c r="A78" s="21" t="s">
        <v>308</v>
      </c>
      <c r="B78" s="22" t="s">
        <v>1213</v>
      </c>
      <c r="C78" s="23" t="s">
        <v>1215</v>
      </c>
      <c r="D78" s="24" t="s">
        <v>31</v>
      </c>
      <c r="E78" s="25">
        <v>53.86</v>
      </c>
      <c r="F78" s="25"/>
      <c r="G78" s="61">
        <f t="shared" si="8"/>
        <v>0</v>
      </c>
    </row>
    <row r="79" spans="1:7" s="8" customFormat="1">
      <c r="A79" s="21" t="s">
        <v>309</v>
      </c>
      <c r="B79" s="22" t="s">
        <v>413</v>
      </c>
      <c r="C79" s="23" t="s">
        <v>1216</v>
      </c>
      <c r="D79" s="24" t="s">
        <v>31</v>
      </c>
      <c r="E79" s="25">
        <v>59.3</v>
      </c>
      <c r="F79" s="25"/>
      <c r="G79" s="61">
        <f t="shared" si="8"/>
        <v>0</v>
      </c>
    </row>
    <row r="80" spans="1:7" s="8" customFormat="1" ht="25.5">
      <c r="A80" s="21" t="s">
        <v>311</v>
      </c>
      <c r="B80" s="22" t="s">
        <v>391</v>
      </c>
      <c r="C80" s="23" t="s">
        <v>1217</v>
      </c>
      <c r="D80" s="24" t="s">
        <v>31</v>
      </c>
      <c r="E80" s="25">
        <v>59.3</v>
      </c>
      <c r="F80" s="25"/>
      <c r="G80" s="61">
        <f t="shared" si="8"/>
        <v>0</v>
      </c>
    </row>
    <row r="81" spans="1:11" s="8" customFormat="1" ht="25.5">
      <c r="A81" s="21" t="s">
        <v>314</v>
      </c>
      <c r="B81" s="22" t="s">
        <v>394</v>
      </c>
      <c r="C81" s="23" t="s">
        <v>1342</v>
      </c>
      <c r="D81" s="24" t="s">
        <v>31</v>
      </c>
      <c r="E81" s="25">
        <v>59.3</v>
      </c>
      <c r="F81" s="25"/>
      <c r="G81" s="61">
        <f t="shared" si="8"/>
        <v>0</v>
      </c>
    </row>
    <row r="82" spans="1:11" s="8" customFormat="1" ht="25.5">
      <c r="A82" s="21" t="s">
        <v>316</v>
      </c>
      <c r="B82" s="22" t="s">
        <v>1335</v>
      </c>
      <c r="C82" s="23" t="s">
        <v>1336</v>
      </c>
      <c r="D82" s="24" t="s">
        <v>31</v>
      </c>
      <c r="E82" s="25">
        <v>59.3</v>
      </c>
      <c r="F82" s="25"/>
      <c r="G82" s="61">
        <f t="shared" si="8"/>
        <v>0</v>
      </c>
    </row>
    <row r="83" spans="1:11" s="8" customFormat="1" ht="15" customHeight="1">
      <c r="A83" s="32" t="s">
        <v>324</v>
      </c>
      <c r="B83" s="106" t="s">
        <v>1316</v>
      </c>
      <c r="C83" s="107"/>
      <c r="D83" s="107"/>
      <c r="E83" s="107"/>
      <c r="F83" s="108"/>
      <c r="G83" s="62">
        <f>SUM(G84:G110)</f>
        <v>0</v>
      </c>
    </row>
    <row r="84" spans="1:11" s="8" customFormat="1" ht="25.5">
      <c r="A84" s="21" t="s">
        <v>326</v>
      </c>
      <c r="B84" s="22" t="s">
        <v>1461</v>
      </c>
      <c r="C84" s="23" t="s">
        <v>1462</v>
      </c>
      <c r="D84" s="24" t="s">
        <v>31</v>
      </c>
      <c r="E84" s="25">
        <f>0.4*0.4*12</f>
        <v>1.9200000000000004</v>
      </c>
      <c r="F84" s="25"/>
      <c r="G84" s="61">
        <f t="shared" ref="G84" si="9">E84*F84</f>
        <v>0</v>
      </c>
    </row>
    <row r="85" spans="1:11" s="8" customFormat="1">
      <c r="A85" s="21" t="s">
        <v>329</v>
      </c>
      <c r="B85" s="22" t="s">
        <v>55</v>
      </c>
      <c r="C85" s="23" t="s">
        <v>1317</v>
      </c>
      <c r="D85" s="24" t="s">
        <v>11</v>
      </c>
      <c r="E85" s="25">
        <f>0.4*0.4*0.05*12</f>
        <v>9.600000000000003E-2</v>
      </c>
      <c r="F85" s="25"/>
      <c r="G85" s="61">
        <f t="shared" ref="G85" si="10">E85*F85</f>
        <v>0</v>
      </c>
    </row>
    <row r="86" spans="1:11" s="8" customFormat="1" ht="38.25">
      <c r="A86" s="21" t="s">
        <v>330</v>
      </c>
      <c r="B86" s="22" t="s">
        <v>1463</v>
      </c>
      <c r="C86" s="23" t="s">
        <v>1464</v>
      </c>
      <c r="D86" s="24" t="s">
        <v>31</v>
      </c>
      <c r="E86" s="25">
        <f>225+59.3</f>
        <v>284.3</v>
      </c>
      <c r="F86" s="25"/>
      <c r="G86" s="61">
        <f t="shared" ref="G86" si="11">E86*F86</f>
        <v>0</v>
      </c>
    </row>
    <row r="87" spans="1:11" s="8" customFormat="1">
      <c r="A87" s="21" t="s">
        <v>331</v>
      </c>
      <c r="B87" s="22" t="s">
        <v>1318</v>
      </c>
      <c r="C87" s="23" t="s">
        <v>1319</v>
      </c>
      <c r="D87" s="24" t="s">
        <v>11</v>
      </c>
      <c r="E87" s="25">
        <v>0.1</v>
      </c>
      <c r="F87" s="25"/>
      <c r="G87" s="61">
        <f t="shared" ref="G87" si="12">E87*F87</f>
        <v>0</v>
      </c>
    </row>
    <row r="88" spans="1:11" s="8" customFormat="1" ht="25.5">
      <c r="A88" s="21" t="s">
        <v>332</v>
      </c>
      <c r="B88" s="22" t="s">
        <v>1320</v>
      </c>
      <c r="C88" s="23" t="s">
        <v>1321</v>
      </c>
      <c r="D88" s="24" t="s">
        <v>31</v>
      </c>
      <c r="E88" s="25">
        <v>1.92</v>
      </c>
      <c r="F88" s="25"/>
      <c r="G88" s="61">
        <f t="shared" ref="G88" si="13">E88*F88</f>
        <v>0</v>
      </c>
    </row>
    <row r="89" spans="1:11" s="8" customFormat="1" ht="38.25">
      <c r="A89" s="21" t="s">
        <v>333</v>
      </c>
      <c r="B89" s="22" t="s">
        <v>1322</v>
      </c>
      <c r="C89" s="23" t="s">
        <v>1323</v>
      </c>
      <c r="D89" s="24" t="s">
        <v>31</v>
      </c>
      <c r="E89" s="25">
        <f>225+59.3</f>
        <v>284.3</v>
      </c>
      <c r="F89" s="25"/>
      <c r="G89" s="61">
        <f t="shared" ref="G89" si="14">E89*F89</f>
        <v>0</v>
      </c>
    </row>
    <row r="90" spans="1:11" s="8" customFormat="1" ht="33" customHeight="1">
      <c r="A90" s="21" t="s">
        <v>336</v>
      </c>
      <c r="B90" s="22" t="s">
        <v>437</v>
      </c>
      <c r="C90" s="23" t="s">
        <v>438</v>
      </c>
      <c r="D90" s="24" t="s">
        <v>52</v>
      </c>
      <c r="E90" s="25">
        <f>17.79+5.78+17.88+5.35</f>
        <v>46.800000000000004</v>
      </c>
      <c r="F90" s="25"/>
      <c r="G90" s="61">
        <f t="shared" ref="G90:G110" si="15">E90*F90</f>
        <v>0</v>
      </c>
      <c r="H90" s="100"/>
      <c r="I90" s="101"/>
      <c r="J90" s="101"/>
      <c r="K90" s="101"/>
    </row>
    <row r="91" spans="1:11" s="8" customFormat="1">
      <c r="A91" s="21" t="s">
        <v>339</v>
      </c>
      <c r="B91" s="22" t="s">
        <v>440</v>
      </c>
      <c r="C91" s="23" t="s">
        <v>441</v>
      </c>
      <c r="D91" s="24" t="s">
        <v>52</v>
      </c>
      <c r="E91" s="25">
        <f>8.5*5+3.5</f>
        <v>46</v>
      </c>
      <c r="F91" s="25"/>
      <c r="G91" s="61">
        <f t="shared" si="15"/>
        <v>0</v>
      </c>
    </row>
    <row r="92" spans="1:11" s="8" customFormat="1" ht="25.5">
      <c r="A92" s="21" t="s">
        <v>341</v>
      </c>
      <c r="B92" s="22" t="s">
        <v>397</v>
      </c>
      <c r="C92" s="23" t="s">
        <v>435</v>
      </c>
      <c r="D92" s="24" t="s">
        <v>31</v>
      </c>
      <c r="E92" s="25">
        <f>0.45*(5.35*2+4.6)</f>
        <v>6.8849999999999998</v>
      </c>
      <c r="F92" s="25"/>
      <c r="G92" s="61">
        <f>E92*F92</f>
        <v>0</v>
      </c>
    </row>
    <row r="93" spans="1:11" s="8" customFormat="1">
      <c r="A93" s="21" t="s">
        <v>344</v>
      </c>
      <c r="B93" s="22" t="s">
        <v>59</v>
      </c>
      <c r="C93" s="23" t="s">
        <v>442</v>
      </c>
      <c r="D93" s="24" t="s">
        <v>11</v>
      </c>
      <c r="E93" s="25">
        <v>1</v>
      </c>
      <c r="F93" s="25"/>
      <c r="G93" s="61">
        <f t="shared" si="15"/>
        <v>0</v>
      </c>
    </row>
    <row r="94" spans="1:11" s="8" customFormat="1" ht="25.5">
      <c r="A94" s="21" t="s">
        <v>345</v>
      </c>
      <c r="B94" s="22" t="s">
        <v>443</v>
      </c>
      <c r="C94" s="23" t="s">
        <v>444</v>
      </c>
      <c r="D94" s="24" t="s">
        <v>31</v>
      </c>
      <c r="E94" s="25">
        <f>4.6*5.35</f>
        <v>24.609999999999996</v>
      </c>
      <c r="F94" s="25"/>
      <c r="G94" s="61">
        <f t="shared" si="15"/>
        <v>0</v>
      </c>
    </row>
    <row r="95" spans="1:11" s="8" customFormat="1">
      <c r="A95" s="21" t="s">
        <v>346</v>
      </c>
      <c r="B95" s="22" t="s">
        <v>59</v>
      </c>
      <c r="C95" s="23" t="s">
        <v>1454</v>
      </c>
      <c r="D95" s="24" t="s">
        <v>11</v>
      </c>
      <c r="E95" s="25">
        <v>0.3</v>
      </c>
      <c r="F95" s="25"/>
      <c r="G95" s="61">
        <f t="shared" si="15"/>
        <v>0</v>
      </c>
    </row>
    <row r="96" spans="1:11" s="8" customFormat="1" ht="25.5">
      <c r="A96" s="21" t="s">
        <v>349</v>
      </c>
      <c r="B96" s="22" t="s">
        <v>468</v>
      </c>
      <c r="C96" s="23" t="s">
        <v>469</v>
      </c>
      <c r="D96" s="24" t="s">
        <v>11</v>
      </c>
      <c r="E96" s="25">
        <f>(4.6+5.35*2)*0.25*0.4</f>
        <v>1.53</v>
      </c>
      <c r="F96" s="25"/>
      <c r="G96" s="61">
        <f>E96*F96</f>
        <v>0</v>
      </c>
    </row>
    <row r="97" spans="1:11" s="8" customFormat="1" ht="38.25">
      <c r="A97" s="21" t="s">
        <v>350</v>
      </c>
      <c r="B97" s="22" t="s">
        <v>470</v>
      </c>
      <c r="C97" s="23" t="s">
        <v>471</v>
      </c>
      <c r="D97" s="24" t="s">
        <v>31</v>
      </c>
      <c r="E97" s="25">
        <f>(4.6+5.3*2)*0.3</f>
        <v>4.5599999999999996</v>
      </c>
      <c r="F97" s="25"/>
      <c r="G97" s="61">
        <f>E97*F97</f>
        <v>0</v>
      </c>
    </row>
    <row r="98" spans="1:11" s="8" customFormat="1" ht="25.5">
      <c r="A98" s="21" t="s">
        <v>351</v>
      </c>
      <c r="B98" s="22" t="s">
        <v>445</v>
      </c>
      <c r="C98" s="23" t="s">
        <v>446</v>
      </c>
      <c r="D98" s="24" t="s">
        <v>31</v>
      </c>
      <c r="E98" s="25">
        <v>24.61</v>
      </c>
      <c r="F98" s="25"/>
      <c r="G98" s="61">
        <f t="shared" si="15"/>
        <v>0</v>
      </c>
    </row>
    <row r="99" spans="1:11" s="8" customFormat="1" ht="25.5">
      <c r="A99" s="21" t="s">
        <v>1410</v>
      </c>
      <c r="B99" s="22" t="s">
        <v>1163</v>
      </c>
      <c r="C99" s="23" t="s">
        <v>1478</v>
      </c>
      <c r="D99" s="24" t="s">
        <v>450</v>
      </c>
      <c r="E99" s="25">
        <f>4.6*2</f>
        <v>9.1999999999999993</v>
      </c>
      <c r="F99" s="25"/>
      <c r="G99" s="61">
        <f t="shared" si="15"/>
        <v>0</v>
      </c>
      <c r="H99" s="100"/>
      <c r="I99" s="101"/>
      <c r="J99" s="101"/>
      <c r="K99" s="101"/>
    </row>
    <row r="100" spans="1:11" s="8" customFormat="1" ht="25.5">
      <c r="A100" s="21" t="s">
        <v>1411</v>
      </c>
      <c r="B100" s="22" t="s">
        <v>447</v>
      </c>
      <c r="C100" s="23" t="s">
        <v>1477</v>
      </c>
      <c r="D100" s="24" t="s">
        <v>31</v>
      </c>
      <c r="E100" s="25">
        <v>24.61</v>
      </c>
      <c r="F100" s="25"/>
      <c r="G100" s="61">
        <f t="shared" ref="G100" si="16">E100*F100</f>
        <v>0</v>
      </c>
      <c r="H100" s="100"/>
      <c r="I100" s="101"/>
      <c r="J100" s="101"/>
      <c r="K100" s="101"/>
    </row>
    <row r="101" spans="1:11" s="8" customFormat="1" ht="25.5">
      <c r="A101" s="21" t="s">
        <v>1412</v>
      </c>
      <c r="B101" s="22" t="s">
        <v>448</v>
      </c>
      <c r="C101" s="23" t="s">
        <v>449</v>
      </c>
      <c r="D101" s="24" t="s">
        <v>450</v>
      </c>
      <c r="E101" s="25">
        <f>4.6+5.35*2</f>
        <v>15.299999999999999</v>
      </c>
      <c r="F101" s="25"/>
      <c r="G101" s="61">
        <f t="shared" si="15"/>
        <v>0</v>
      </c>
    </row>
    <row r="102" spans="1:11" s="8" customFormat="1" ht="25.5">
      <c r="A102" s="21" t="s">
        <v>1413</v>
      </c>
      <c r="B102" s="22" t="s">
        <v>451</v>
      </c>
      <c r="C102" s="23" t="s">
        <v>452</v>
      </c>
      <c r="D102" s="52" t="s">
        <v>453</v>
      </c>
      <c r="E102" s="25">
        <f>4.6+3.8+4.7+5</f>
        <v>18.099999999999998</v>
      </c>
      <c r="F102" s="25"/>
      <c r="G102" s="61">
        <f t="shared" si="15"/>
        <v>0</v>
      </c>
    </row>
    <row r="103" spans="1:11" s="8" customFormat="1" ht="25.5">
      <c r="A103" s="21" t="s">
        <v>1414</v>
      </c>
      <c r="B103" s="22" t="s">
        <v>397</v>
      </c>
      <c r="C103" s="23" t="s">
        <v>454</v>
      </c>
      <c r="D103" s="24" t="s">
        <v>31</v>
      </c>
      <c r="E103" s="25">
        <f>(17.79+5.78+17.88+5.35)*(0.25+0.35)</f>
        <v>28.080000000000002</v>
      </c>
      <c r="F103" s="25"/>
      <c r="G103" s="61">
        <f t="shared" si="15"/>
        <v>0</v>
      </c>
    </row>
    <row r="104" spans="1:11" s="8" customFormat="1" ht="25.5">
      <c r="A104" s="21" t="s">
        <v>1415</v>
      </c>
      <c r="B104" s="22" t="s">
        <v>397</v>
      </c>
      <c r="C104" s="23" t="s">
        <v>1324</v>
      </c>
      <c r="D104" s="24" t="s">
        <v>31</v>
      </c>
      <c r="E104" s="25">
        <v>6.89</v>
      </c>
      <c r="F104" s="25"/>
      <c r="G104" s="61">
        <f t="shared" si="15"/>
        <v>0</v>
      </c>
    </row>
    <row r="105" spans="1:11" s="8" customFormat="1" ht="25.5">
      <c r="A105" s="21" t="s">
        <v>1416</v>
      </c>
      <c r="B105" s="22" t="s">
        <v>397</v>
      </c>
      <c r="C105" s="23" t="s">
        <v>455</v>
      </c>
      <c r="D105" s="24" t="s">
        <v>31</v>
      </c>
      <c r="E105" s="25">
        <f>5*0.25+0.97+0.73+0.99</f>
        <v>3.9399999999999995</v>
      </c>
      <c r="F105" s="25"/>
      <c r="G105" s="61">
        <f t="shared" si="15"/>
        <v>0</v>
      </c>
    </row>
    <row r="106" spans="1:11" s="8" customFormat="1" ht="25.5">
      <c r="A106" s="21" t="s">
        <v>1417</v>
      </c>
      <c r="B106" s="22" t="s">
        <v>456</v>
      </c>
      <c r="C106" s="23" t="s">
        <v>457</v>
      </c>
      <c r="D106" s="24" t="s">
        <v>52</v>
      </c>
      <c r="E106" s="25">
        <f>17.79+5.78+17.88+5.35</f>
        <v>46.800000000000004</v>
      </c>
      <c r="F106" s="25"/>
      <c r="G106" s="61">
        <f t="shared" si="15"/>
        <v>0</v>
      </c>
    </row>
    <row r="107" spans="1:11" s="8" customFormat="1" ht="25.5">
      <c r="A107" s="21" t="s">
        <v>1418</v>
      </c>
      <c r="B107" s="22" t="s">
        <v>458</v>
      </c>
      <c r="C107" s="23" t="s">
        <v>459</v>
      </c>
      <c r="D107" s="24" t="s">
        <v>52</v>
      </c>
      <c r="E107" s="25">
        <f>8.5*5+3.5</f>
        <v>46</v>
      </c>
      <c r="F107" s="25"/>
      <c r="G107" s="61">
        <f t="shared" si="15"/>
        <v>0</v>
      </c>
    </row>
    <row r="108" spans="1:11" s="8" customFormat="1">
      <c r="A108" s="21" t="s">
        <v>1419</v>
      </c>
      <c r="B108" s="22" t="s">
        <v>1325</v>
      </c>
      <c r="C108" s="23" t="s">
        <v>1326</v>
      </c>
      <c r="D108" s="24" t="s">
        <v>84</v>
      </c>
      <c r="E108" s="25">
        <v>12</v>
      </c>
      <c r="F108" s="25"/>
      <c r="G108" s="61">
        <f t="shared" ref="G108" si="17">E108*F108</f>
        <v>0</v>
      </c>
    </row>
    <row r="109" spans="1:11" s="8" customFormat="1" ht="25.5">
      <c r="A109" s="21" t="s">
        <v>1420</v>
      </c>
      <c r="B109" s="22" t="s">
        <v>462</v>
      </c>
      <c r="C109" s="23" t="s">
        <v>463</v>
      </c>
      <c r="D109" s="24" t="s">
        <v>84</v>
      </c>
      <c r="E109" s="25">
        <v>18</v>
      </c>
      <c r="F109" s="25"/>
      <c r="G109" s="61">
        <f t="shared" si="15"/>
        <v>0</v>
      </c>
    </row>
    <row r="110" spans="1:11" s="8" customFormat="1">
      <c r="A110" s="21" t="s">
        <v>1479</v>
      </c>
      <c r="B110" s="22" t="s">
        <v>464</v>
      </c>
      <c r="C110" s="23" t="s">
        <v>465</v>
      </c>
      <c r="D110" s="24" t="s">
        <v>84</v>
      </c>
      <c r="E110" s="25">
        <v>18</v>
      </c>
      <c r="F110" s="25"/>
      <c r="G110" s="61">
        <f t="shared" si="15"/>
        <v>0</v>
      </c>
    </row>
    <row r="111" spans="1:11" s="8" customFormat="1" ht="15" customHeight="1">
      <c r="A111" s="32" t="s">
        <v>366</v>
      </c>
      <c r="B111" s="106" t="s">
        <v>1514</v>
      </c>
      <c r="C111" s="107"/>
      <c r="D111" s="107"/>
      <c r="E111" s="107"/>
      <c r="F111" s="108"/>
      <c r="G111" s="62">
        <f>SUM(G112:G114)</f>
        <v>0</v>
      </c>
    </row>
    <row r="112" spans="1:11" s="8" customFormat="1" ht="25.5">
      <c r="A112" s="15" t="s">
        <v>367</v>
      </c>
      <c r="B112" s="22" t="s">
        <v>1163</v>
      </c>
      <c r="C112" s="23" t="s">
        <v>1511</v>
      </c>
      <c r="D112" s="24" t="s">
        <v>509</v>
      </c>
      <c r="E112" s="25">
        <v>2</v>
      </c>
      <c r="F112" s="25"/>
      <c r="G112" s="59">
        <f>E112*F112</f>
        <v>0</v>
      </c>
    </row>
    <row r="113" spans="1:7" s="8" customFormat="1" ht="25.5">
      <c r="A113" s="15" t="s">
        <v>369</v>
      </c>
      <c r="B113" s="22" t="s">
        <v>1163</v>
      </c>
      <c r="C113" s="23" t="s">
        <v>1512</v>
      </c>
      <c r="D113" s="24" t="s">
        <v>509</v>
      </c>
      <c r="E113" s="25">
        <v>3</v>
      </c>
      <c r="F113" s="25"/>
      <c r="G113" s="59">
        <f>E113*F113</f>
        <v>0</v>
      </c>
    </row>
    <row r="114" spans="1:7" s="8" customFormat="1" ht="25.5">
      <c r="A114" s="15" t="s">
        <v>370</v>
      </c>
      <c r="B114" s="22" t="s">
        <v>1163</v>
      </c>
      <c r="C114" s="23" t="s">
        <v>1513</v>
      </c>
      <c r="D114" s="24" t="s">
        <v>509</v>
      </c>
      <c r="E114" s="25">
        <v>4</v>
      </c>
      <c r="F114" s="25"/>
      <c r="G114" s="59">
        <f>E114*F114</f>
        <v>0</v>
      </c>
    </row>
    <row r="115" spans="1:7" s="6" customFormat="1">
      <c r="A115" s="33" t="s">
        <v>520</v>
      </c>
      <c r="B115" s="34"/>
      <c r="C115" s="47"/>
      <c r="D115" s="34"/>
      <c r="E115" s="34"/>
      <c r="F115" s="35"/>
      <c r="G115" s="60">
        <f>G116</f>
        <v>0</v>
      </c>
    </row>
    <row r="116" spans="1:7" s="8" customFormat="1">
      <c r="A116" s="32" t="s">
        <v>521</v>
      </c>
      <c r="B116" s="28" t="s">
        <v>522</v>
      </c>
      <c r="C116" s="29"/>
      <c r="D116" s="30"/>
      <c r="E116" s="30"/>
      <c r="F116" s="31"/>
      <c r="G116" s="62">
        <f>G117+G126+G160</f>
        <v>0</v>
      </c>
    </row>
    <row r="117" spans="1:7" s="8" customFormat="1">
      <c r="A117" s="18" t="s">
        <v>9</v>
      </c>
      <c r="B117" s="102" t="s">
        <v>523</v>
      </c>
      <c r="C117" s="103"/>
      <c r="D117" s="103"/>
      <c r="E117" s="103"/>
      <c r="F117" s="104"/>
      <c r="G117" s="64">
        <f>SUM(G118:G125)</f>
        <v>0</v>
      </c>
    </row>
    <row r="118" spans="1:7" s="8" customFormat="1" ht="25.5">
      <c r="A118" s="21" t="s">
        <v>524</v>
      </c>
      <c r="B118" s="22" t="s">
        <v>525</v>
      </c>
      <c r="C118" s="23" t="s">
        <v>526</v>
      </c>
      <c r="D118" s="24" t="s">
        <v>52</v>
      </c>
      <c r="E118" s="25">
        <v>240</v>
      </c>
      <c r="F118" s="25"/>
      <c r="G118" s="61">
        <f t="shared" ref="G118:G125" si="18">E118*F118</f>
        <v>0</v>
      </c>
    </row>
    <row r="119" spans="1:7" s="8" customFormat="1" ht="25.5">
      <c r="A119" s="21" t="s">
        <v>527</v>
      </c>
      <c r="B119" s="22" t="s">
        <v>528</v>
      </c>
      <c r="C119" s="23" t="s">
        <v>529</v>
      </c>
      <c r="D119" s="24" t="s">
        <v>52</v>
      </c>
      <c r="E119" s="25">
        <v>64</v>
      </c>
      <c r="F119" s="25"/>
      <c r="G119" s="61">
        <f t="shared" si="18"/>
        <v>0</v>
      </c>
    </row>
    <row r="120" spans="1:7" s="8" customFormat="1" ht="25.5">
      <c r="A120" s="21" t="s">
        <v>530</v>
      </c>
      <c r="B120" s="22" t="s">
        <v>531</v>
      </c>
      <c r="C120" s="23" t="s">
        <v>532</v>
      </c>
      <c r="D120" s="24" t="s">
        <v>52</v>
      </c>
      <c r="E120" s="25">
        <v>36</v>
      </c>
      <c r="F120" s="25"/>
      <c r="G120" s="61">
        <f t="shared" si="18"/>
        <v>0</v>
      </c>
    </row>
    <row r="121" spans="1:7" s="8" customFormat="1" ht="25.5">
      <c r="A121" s="21" t="s">
        <v>533</v>
      </c>
      <c r="B121" s="22" t="s">
        <v>531</v>
      </c>
      <c r="C121" s="23" t="s">
        <v>534</v>
      </c>
      <c r="D121" s="24" t="s">
        <v>52</v>
      </c>
      <c r="E121" s="25">
        <v>49</v>
      </c>
      <c r="F121" s="25"/>
      <c r="G121" s="61">
        <f t="shared" si="18"/>
        <v>0</v>
      </c>
    </row>
    <row r="122" spans="1:7" s="8" customFormat="1" ht="25.5">
      <c r="A122" s="21" t="s">
        <v>535</v>
      </c>
      <c r="B122" s="22" t="s">
        <v>536</v>
      </c>
      <c r="C122" s="23" t="s">
        <v>537</v>
      </c>
      <c r="D122" s="24" t="s">
        <v>52</v>
      </c>
      <c r="E122" s="25">
        <v>28</v>
      </c>
      <c r="F122" s="25"/>
      <c r="G122" s="61">
        <f t="shared" si="18"/>
        <v>0</v>
      </c>
    </row>
    <row r="123" spans="1:7" s="8" customFormat="1" ht="25.5">
      <c r="A123" s="21" t="s">
        <v>538</v>
      </c>
      <c r="B123" s="22" t="s">
        <v>539</v>
      </c>
      <c r="C123" s="23" t="s">
        <v>540</v>
      </c>
      <c r="D123" s="24" t="s">
        <v>509</v>
      </c>
      <c r="E123" s="25">
        <f>48*2</f>
        <v>96</v>
      </c>
      <c r="F123" s="25"/>
      <c r="G123" s="61">
        <f t="shared" si="18"/>
        <v>0</v>
      </c>
    </row>
    <row r="124" spans="1:7" s="8" customFormat="1" ht="25.5">
      <c r="A124" s="21" t="s">
        <v>541</v>
      </c>
      <c r="B124" s="22" t="s">
        <v>542</v>
      </c>
      <c r="C124" s="23" t="s">
        <v>543</v>
      </c>
      <c r="D124" s="24" t="s">
        <v>461</v>
      </c>
      <c r="E124" s="25">
        <v>48</v>
      </c>
      <c r="F124" s="25"/>
      <c r="G124" s="61">
        <f t="shared" si="18"/>
        <v>0</v>
      </c>
    </row>
    <row r="125" spans="1:7" s="8" customFormat="1">
      <c r="A125" s="21" t="s">
        <v>544</v>
      </c>
      <c r="B125" s="22" t="s">
        <v>59</v>
      </c>
      <c r="C125" s="23" t="s">
        <v>1454</v>
      </c>
      <c r="D125" s="24" t="s">
        <v>11</v>
      </c>
      <c r="E125" s="25">
        <v>6</v>
      </c>
      <c r="F125" s="25"/>
      <c r="G125" s="61">
        <f t="shared" si="18"/>
        <v>0</v>
      </c>
    </row>
    <row r="126" spans="1:7" s="8" customFormat="1">
      <c r="A126" s="18" t="s">
        <v>12</v>
      </c>
      <c r="B126" s="54" t="s">
        <v>547</v>
      </c>
      <c r="C126" s="19"/>
      <c r="D126" s="55"/>
      <c r="E126" s="55"/>
      <c r="F126" s="20"/>
      <c r="G126" s="64">
        <f>SUM(G127:G159)</f>
        <v>0</v>
      </c>
    </row>
    <row r="127" spans="1:7" s="8" customFormat="1" ht="25.5">
      <c r="A127" s="21" t="s">
        <v>548</v>
      </c>
      <c r="B127" s="22" t="s">
        <v>549</v>
      </c>
      <c r="C127" s="23" t="s">
        <v>550</v>
      </c>
      <c r="D127" s="24" t="s">
        <v>52</v>
      </c>
      <c r="E127" s="25">
        <v>240</v>
      </c>
      <c r="F127" s="25"/>
      <c r="G127" s="61">
        <f t="shared" ref="G127:G159" si="19">E127*F127</f>
        <v>0</v>
      </c>
    </row>
    <row r="128" spans="1:7" s="8" customFormat="1" ht="25.5">
      <c r="A128" s="21" t="s">
        <v>551</v>
      </c>
      <c r="B128" s="22" t="s">
        <v>552</v>
      </c>
      <c r="C128" s="23" t="s">
        <v>553</v>
      </c>
      <c r="D128" s="24" t="s">
        <v>52</v>
      </c>
      <c r="E128" s="25">
        <v>64</v>
      </c>
      <c r="F128" s="25"/>
      <c r="G128" s="61">
        <f t="shared" si="19"/>
        <v>0</v>
      </c>
    </row>
    <row r="129" spans="1:7" s="8" customFormat="1" ht="25.5">
      <c r="A129" s="21" t="s">
        <v>554</v>
      </c>
      <c r="B129" s="22" t="s">
        <v>555</v>
      </c>
      <c r="C129" s="23" t="s">
        <v>556</v>
      </c>
      <c r="D129" s="24" t="s">
        <v>52</v>
      </c>
      <c r="E129" s="25">
        <v>36</v>
      </c>
      <c r="F129" s="25"/>
      <c r="G129" s="61">
        <f t="shared" si="19"/>
        <v>0</v>
      </c>
    </row>
    <row r="130" spans="1:7" s="8" customFormat="1" ht="25.5">
      <c r="A130" s="21" t="s">
        <v>557</v>
      </c>
      <c r="B130" s="22" t="s">
        <v>558</v>
      </c>
      <c r="C130" s="23" t="s">
        <v>559</v>
      </c>
      <c r="D130" s="24" t="s">
        <v>52</v>
      </c>
      <c r="E130" s="25">
        <v>49</v>
      </c>
      <c r="F130" s="25"/>
      <c r="G130" s="61">
        <f t="shared" si="19"/>
        <v>0</v>
      </c>
    </row>
    <row r="131" spans="1:7" s="8" customFormat="1" ht="25.5">
      <c r="A131" s="21" t="s">
        <v>560</v>
      </c>
      <c r="B131" s="22" t="s">
        <v>561</v>
      </c>
      <c r="C131" s="23" t="s">
        <v>562</v>
      </c>
      <c r="D131" s="24" t="s">
        <v>52</v>
      </c>
      <c r="E131" s="25">
        <v>28</v>
      </c>
      <c r="F131" s="25"/>
      <c r="G131" s="61">
        <f t="shared" si="19"/>
        <v>0</v>
      </c>
    </row>
    <row r="132" spans="1:7" s="8" customFormat="1">
      <c r="A132" s="21" t="s">
        <v>563</v>
      </c>
      <c r="B132" s="22" t="s">
        <v>564</v>
      </c>
      <c r="C132" s="23" t="s">
        <v>565</v>
      </c>
      <c r="D132" s="24" t="s">
        <v>52</v>
      </c>
      <c r="E132" s="25">
        <f>240+64+36+49+28</f>
        <v>417</v>
      </c>
      <c r="F132" s="25"/>
      <c r="G132" s="61">
        <f t="shared" si="19"/>
        <v>0</v>
      </c>
    </row>
    <row r="133" spans="1:7" s="8" customFormat="1" ht="25.5">
      <c r="A133" s="21" t="s">
        <v>566</v>
      </c>
      <c r="B133" s="22" t="s">
        <v>567</v>
      </c>
      <c r="C133" s="23" t="s">
        <v>568</v>
      </c>
      <c r="D133" s="24" t="s">
        <v>52</v>
      </c>
      <c r="E133" s="25">
        <f>240+64+36+49+28</f>
        <v>417</v>
      </c>
      <c r="F133" s="25"/>
      <c r="G133" s="61">
        <f t="shared" si="19"/>
        <v>0</v>
      </c>
    </row>
    <row r="134" spans="1:7" s="8" customFormat="1">
      <c r="A134" s="21" t="s">
        <v>569</v>
      </c>
      <c r="B134" s="22" t="s">
        <v>570</v>
      </c>
      <c r="C134" s="23" t="s">
        <v>571</v>
      </c>
      <c r="D134" s="24" t="s">
        <v>84</v>
      </c>
      <c r="E134" s="25">
        <v>48</v>
      </c>
      <c r="F134" s="25"/>
      <c r="G134" s="61">
        <f t="shared" si="19"/>
        <v>0</v>
      </c>
    </row>
    <row r="135" spans="1:7" s="8" customFormat="1">
      <c r="A135" s="21" t="s">
        <v>572</v>
      </c>
      <c r="B135" s="22" t="s">
        <v>573</v>
      </c>
      <c r="C135" s="23" t="s">
        <v>574</v>
      </c>
      <c r="D135" s="24" t="s">
        <v>84</v>
      </c>
      <c r="E135" s="25">
        <v>48</v>
      </c>
      <c r="F135" s="25"/>
      <c r="G135" s="61">
        <f t="shared" si="19"/>
        <v>0</v>
      </c>
    </row>
    <row r="136" spans="1:7" s="8" customFormat="1">
      <c r="A136" s="21" t="s">
        <v>575</v>
      </c>
      <c r="B136" s="22" t="s">
        <v>576</v>
      </c>
      <c r="C136" s="23" t="s">
        <v>577</v>
      </c>
      <c r="D136" s="24" t="s">
        <v>84</v>
      </c>
      <c r="E136" s="25">
        <v>48</v>
      </c>
      <c r="F136" s="25"/>
      <c r="G136" s="61">
        <f t="shared" si="19"/>
        <v>0</v>
      </c>
    </row>
    <row r="137" spans="1:7" s="8" customFormat="1">
      <c r="A137" s="21" t="s">
        <v>578</v>
      </c>
      <c r="B137" s="22" t="s">
        <v>579</v>
      </c>
      <c r="C137" s="23" t="s">
        <v>580</v>
      </c>
      <c r="D137" s="24" t="s">
        <v>461</v>
      </c>
      <c r="E137" s="25">
        <v>7</v>
      </c>
      <c r="F137" s="25"/>
      <c r="G137" s="61">
        <f t="shared" si="19"/>
        <v>0</v>
      </c>
    </row>
    <row r="138" spans="1:7" s="8" customFormat="1">
      <c r="A138" s="21" t="s">
        <v>581</v>
      </c>
      <c r="B138" s="22" t="s">
        <v>582</v>
      </c>
      <c r="C138" s="23" t="s">
        <v>583</v>
      </c>
      <c r="D138" s="24" t="s">
        <v>84</v>
      </c>
      <c r="E138" s="25">
        <v>7</v>
      </c>
      <c r="F138" s="25"/>
      <c r="G138" s="61">
        <f t="shared" si="19"/>
        <v>0</v>
      </c>
    </row>
    <row r="139" spans="1:7" s="8" customFormat="1">
      <c r="A139" s="21" t="s">
        <v>584</v>
      </c>
      <c r="B139" s="22" t="s">
        <v>585</v>
      </c>
      <c r="C139" s="23" t="s">
        <v>586</v>
      </c>
      <c r="D139" s="24" t="s">
        <v>84</v>
      </c>
      <c r="E139" s="25">
        <v>2</v>
      </c>
      <c r="F139" s="25"/>
      <c r="G139" s="61">
        <f t="shared" si="19"/>
        <v>0</v>
      </c>
    </row>
    <row r="140" spans="1:7" s="8" customFormat="1">
      <c r="A140" s="21" t="s">
        <v>587</v>
      </c>
      <c r="B140" s="22" t="s">
        <v>585</v>
      </c>
      <c r="C140" s="23" t="s">
        <v>588</v>
      </c>
      <c r="D140" s="24" t="s">
        <v>84</v>
      </c>
      <c r="E140" s="25">
        <v>4</v>
      </c>
      <c r="F140" s="25"/>
      <c r="G140" s="61">
        <f t="shared" si="19"/>
        <v>0</v>
      </c>
    </row>
    <row r="141" spans="1:7" s="8" customFormat="1">
      <c r="A141" s="21" t="s">
        <v>589</v>
      </c>
      <c r="B141" s="22" t="s">
        <v>585</v>
      </c>
      <c r="C141" s="23" t="s">
        <v>590</v>
      </c>
      <c r="D141" s="24" t="s">
        <v>84</v>
      </c>
      <c r="E141" s="25">
        <v>5</v>
      </c>
      <c r="F141" s="25"/>
      <c r="G141" s="61">
        <f t="shared" si="19"/>
        <v>0</v>
      </c>
    </row>
    <row r="142" spans="1:7" s="8" customFormat="1">
      <c r="A142" s="21" t="s">
        <v>591</v>
      </c>
      <c r="B142" s="22" t="s">
        <v>585</v>
      </c>
      <c r="C142" s="23" t="s">
        <v>592</v>
      </c>
      <c r="D142" s="24" t="s">
        <v>84</v>
      </c>
      <c r="E142" s="25">
        <v>3</v>
      </c>
      <c r="F142" s="25"/>
      <c r="G142" s="61">
        <f t="shared" si="19"/>
        <v>0</v>
      </c>
    </row>
    <row r="143" spans="1:7" s="8" customFormat="1">
      <c r="A143" s="21" t="s">
        <v>593</v>
      </c>
      <c r="B143" s="22" t="s">
        <v>585</v>
      </c>
      <c r="C143" s="23" t="s">
        <v>594</v>
      </c>
      <c r="D143" s="24" t="s">
        <v>84</v>
      </c>
      <c r="E143" s="25">
        <v>6</v>
      </c>
      <c r="F143" s="25"/>
      <c r="G143" s="61">
        <f t="shared" si="19"/>
        <v>0</v>
      </c>
    </row>
    <row r="144" spans="1:7" s="8" customFormat="1">
      <c r="A144" s="21" t="s">
        <v>595</v>
      </c>
      <c r="B144" s="22" t="s">
        <v>585</v>
      </c>
      <c r="C144" s="23" t="s">
        <v>596</v>
      </c>
      <c r="D144" s="24" t="s">
        <v>84</v>
      </c>
      <c r="E144" s="25">
        <v>3</v>
      </c>
      <c r="F144" s="25"/>
      <c r="G144" s="61">
        <f t="shared" si="19"/>
        <v>0</v>
      </c>
    </row>
    <row r="145" spans="1:7" s="8" customFormat="1">
      <c r="A145" s="21" t="s">
        <v>597</v>
      </c>
      <c r="B145" s="22" t="s">
        <v>585</v>
      </c>
      <c r="C145" s="23" t="s">
        <v>598</v>
      </c>
      <c r="D145" s="24" t="s">
        <v>84</v>
      </c>
      <c r="E145" s="25">
        <v>1</v>
      </c>
      <c r="F145" s="25"/>
      <c r="G145" s="61">
        <f t="shared" si="19"/>
        <v>0</v>
      </c>
    </row>
    <row r="146" spans="1:7" s="8" customFormat="1">
      <c r="A146" s="21" t="s">
        <v>599</v>
      </c>
      <c r="B146" s="22" t="s">
        <v>585</v>
      </c>
      <c r="C146" s="23" t="s">
        <v>600</v>
      </c>
      <c r="D146" s="24" t="s">
        <v>84</v>
      </c>
      <c r="E146" s="25">
        <v>1</v>
      </c>
      <c r="F146" s="25"/>
      <c r="G146" s="61">
        <f t="shared" si="19"/>
        <v>0</v>
      </c>
    </row>
    <row r="147" spans="1:7" s="8" customFormat="1">
      <c r="A147" s="21" t="s">
        <v>601</v>
      </c>
      <c r="B147" s="22" t="s">
        <v>585</v>
      </c>
      <c r="C147" s="23" t="s">
        <v>602</v>
      </c>
      <c r="D147" s="24" t="s">
        <v>84</v>
      </c>
      <c r="E147" s="25">
        <v>1</v>
      </c>
      <c r="F147" s="25"/>
      <c r="G147" s="61">
        <f t="shared" si="19"/>
        <v>0</v>
      </c>
    </row>
    <row r="148" spans="1:7" s="8" customFormat="1">
      <c r="A148" s="21" t="s">
        <v>603</v>
      </c>
      <c r="B148" s="22" t="s">
        <v>585</v>
      </c>
      <c r="C148" s="23" t="s">
        <v>604</v>
      </c>
      <c r="D148" s="24" t="s">
        <v>84</v>
      </c>
      <c r="E148" s="25">
        <v>1</v>
      </c>
      <c r="F148" s="25"/>
      <c r="G148" s="61">
        <f t="shared" si="19"/>
        <v>0</v>
      </c>
    </row>
    <row r="149" spans="1:7" s="8" customFormat="1">
      <c r="A149" s="21" t="s">
        <v>605</v>
      </c>
      <c r="B149" s="22" t="s">
        <v>585</v>
      </c>
      <c r="C149" s="23" t="s">
        <v>606</v>
      </c>
      <c r="D149" s="24" t="s">
        <v>84</v>
      </c>
      <c r="E149" s="25">
        <v>1</v>
      </c>
      <c r="F149" s="25"/>
      <c r="G149" s="61">
        <f t="shared" si="19"/>
        <v>0</v>
      </c>
    </row>
    <row r="150" spans="1:7" s="8" customFormat="1">
      <c r="A150" s="21" t="s">
        <v>607</v>
      </c>
      <c r="B150" s="22" t="s">
        <v>585</v>
      </c>
      <c r="C150" s="23" t="s">
        <v>608</v>
      </c>
      <c r="D150" s="24" t="s">
        <v>84</v>
      </c>
      <c r="E150" s="25">
        <v>4</v>
      </c>
      <c r="F150" s="25"/>
      <c r="G150" s="61">
        <f t="shared" si="19"/>
        <v>0</v>
      </c>
    </row>
    <row r="151" spans="1:7" s="8" customFormat="1">
      <c r="A151" s="21" t="s">
        <v>609</v>
      </c>
      <c r="B151" s="22" t="s">
        <v>585</v>
      </c>
      <c r="C151" s="23" t="s">
        <v>610</v>
      </c>
      <c r="D151" s="24" t="s">
        <v>84</v>
      </c>
      <c r="E151" s="25">
        <v>3</v>
      </c>
      <c r="F151" s="25"/>
      <c r="G151" s="61">
        <f t="shared" si="19"/>
        <v>0</v>
      </c>
    </row>
    <row r="152" spans="1:7" s="8" customFormat="1">
      <c r="A152" s="21" t="s">
        <v>611</v>
      </c>
      <c r="B152" s="22" t="s">
        <v>585</v>
      </c>
      <c r="C152" s="23" t="s">
        <v>612</v>
      </c>
      <c r="D152" s="24" t="s">
        <v>84</v>
      </c>
      <c r="E152" s="25">
        <v>6</v>
      </c>
      <c r="F152" s="25"/>
      <c r="G152" s="61">
        <f t="shared" si="19"/>
        <v>0</v>
      </c>
    </row>
    <row r="153" spans="1:7" s="8" customFormat="1">
      <c r="A153" s="21" t="s">
        <v>613</v>
      </c>
      <c r="B153" s="22" t="s">
        <v>585</v>
      </c>
      <c r="C153" s="23" t="s">
        <v>614</v>
      </c>
      <c r="D153" s="24" t="s">
        <v>84</v>
      </c>
      <c r="E153" s="25">
        <v>3</v>
      </c>
      <c r="F153" s="25"/>
      <c r="G153" s="61">
        <f t="shared" si="19"/>
        <v>0</v>
      </c>
    </row>
    <row r="154" spans="1:7" s="8" customFormat="1">
      <c r="A154" s="21" t="s">
        <v>615</v>
      </c>
      <c r="B154" s="22" t="s">
        <v>585</v>
      </c>
      <c r="C154" s="23" t="s">
        <v>616</v>
      </c>
      <c r="D154" s="24" t="s">
        <v>84</v>
      </c>
      <c r="E154" s="25">
        <v>1</v>
      </c>
      <c r="F154" s="25"/>
      <c r="G154" s="61">
        <f t="shared" si="19"/>
        <v>0</v>
      </c>
    </row>
    <row r="155" spans="1:7" s="8" customFormat="1">
      <c r="A155" s="21" t="s">
        <v>617</v>
      </c>
      <c r="B155" s="22" t="s">
        <v>585</v>
      </c>
      <c r="C155" s="23" t="s">
        <v>618</v>
      </c>
      <c r="D155" s="24" t="s">
        <v>84</v>
      </c>
      <c r="E155" s="25">
        <v>1</v>
      </c>
      <c r="F155" s="25"/>
      <c r="G155" s="61">
        <f t="shared" si="19"/>
        <v>0</v>
      </c>
    </row>
    <row r="156" spans="1:7" s="8" customFormat="1">
      <c r="A156" s="21" t="s">
        <v>619</v>
      </c>
      <c r="B156" s="22" t="s">
        <v>585</v>
      </c>
      <c r="C156" s="23" t="s">
        <v>620</v>
      </c>
      <c r="D156" s="24" t="s">
        <v>84</v>
      </c>
      <c r="E156" s="25">
        <v>1</v>
      </c>
      <c r="F156" s="25"/>
      <c r="G156" s="61">
        <f t="shared" si="19"/>
        <v>0</v>
      </c>
    </row>
    <row r="157" spans="1:7" s="8" customFormat="1">
      <c r="A157" s="21" t="s">
        <v>621</v>
      </c>
      <c r="B157" s="22" t="s">
        <v>622</v>
      </c>
      <c r="C157" s="23" t="s">
        <v>623</v>
      </c>
      <c r="D157" s="24" t="s">
        <v>84</v>
      </c>
      <c r="E157" s="25">
        <v>1</v>
      </c>
      <c r="F157" s="25"/>
      <c r="G157" s="61">
        <f t="shared" si="19"/>
        <v>0</v>
      </c>
    </row>
    <row r="158" spans="1:7" s="8" customFormat="1" ht="25.5">
      <c r="A158" s="21" t="s">
        <v>624</v>
      </c>
      <c r="B158" s="22" t="s">
        <v>625</v>
      </c>
      <c r="C158" s="23" t="s">
        <v>626</v>
      </c>
      <c r="D158" s="24" t="s">
        <v>627</v>
      </c>
      <c r="E158" s="25">
        <v>48</v>
      </c>
      <c r="F158" s="25"/>
      <c r="G158" s="61">
        <f t="shared" si="19"/>
        <v>0</v>
      </c>
    </row>
    <row r="159" spans="1:7" s="8" customFormat="1" ht="25.5">
      <c r="A159" s="21" t="s">
        <v>628</v>
      </c>
      <c r="B159" s="22" t="s">
        <v>59</v>
      </c>
      <c r="C159" s="23" t="s">
        <v>629</v>
      </c>
      <c r="D159" s="24" t="s">
        <v>509</v>
      </c>
      <c r="E159" s="25">
        <v>12</v>
      </c>
      <c r="F159" s="25"/>
      <c r="G159" s="61">
        <f t="shared" si="19"/>
        <v>0</v>
      </c>
    </row>
    <row r="160" spans="1:7" s="8" customFormat="1">
      <c r="A160" s="18" t="s">
        <v>13</v>
      </c>
      <c r="B160" s="54" t="s">
        <v>630</v>
      </c>
      <c r="C160" s="19"/>
      <c r="D160" s="55"/>
      <c r="E160" s="55"/>
      <c r="F160" s="20"/>
      <c r="G160" s="64">
        <f>SUM(G161:G170)</f>
        <v>0</v>
      </c>
    </row>
    <row r="161" spans="1:7" s="8" customFormat="1" ht="25.5">
      <c r="A161" s="21" t="s">
        <v>631</v>
      </c>
      <c r="B161" s="22" t="s">
        <v>632</v>
      </c>
      <c r="C161" s="23" t="s">
        <v>633</v>
      </c>
      <c r="D161" s="24" t="s">
        <v>84</v>
      </c>
      <c r="E161" s="25">
        <v>5</v>
      </c>
      <c r="F161" s="25"/>
      <c r="G161" s="61">
        <f t="shared" ref="G161:G170" si="20">E161*F161</f>
        <v>0</v>
      </c>
    </row>
    <row r="162" spans="1:7" s="8" customFormat="1" ht="25.5">
      <c r="A162" s="21" t="s">
        <v>634</v>
      </c>
      <c r="B162" s="22" t="s">
        <v>635</v>
      </c>
      <c r="C162" s="23" t="s">
        <v>636</v>
      </c>
      <c r="D162" s="24" t="s">
        <v>84</v>
      </c>
      <c r="E162" s="25">
        <v>5</v>
      </c>
      <c r="F162" s="25"/>
      <c r="G162" s="61">
        <f t="shared" si="20"/>
        <v>0</v>
      </c>
    </row>
    <row r="163" spans="1:7" s="8" customFormat="1" ht="25.5">
      <c r="A163" s="21" t="s">
        <v>637</v>
      </c>
      <c r="B163" s="22" t="s">
        <v>638</v>
      </c>
      <c r="C163" s="23" t="s">
        <v>639</v>
      </c>
      <c r="D163" s="24" t="s">
        <v>84</v>
      </c>
      <c r="E163" s="25">
        <v>1</v>
      </c>
      <c r="F163" s="25"/>
      <c r="G163" s="61">
        <f t="shared" si="20"/>
        <v>0</v>
      </c>
    </row>
    <row r="164" spans="1:7" s="8" customFormat="1">
      <c r="A164" s="21" t="s">
        <v>640</v>
      </c>
      <c r="B164" s="22" t="s">
        <v>641</v>
      </c>
      <c r="C164" s="23" t="s">
        <v>642</v>
      </c>
      <c r="D164" s="24" t="s">
        <v>84</v>
      </c>
      <c r="E164" s="25">
        <v>17</v>
      </c>
      <c r="F164" s="25"/>
      <c r="G164" s="61">
        <f t="shared" si="20"/>
        <v>0</v>
      </c>
    </row>
    <row r="165" spans="1:7" s="8" customFormat="1">
      <c r="A165" s="21" t="s">
        <v>643</v>
      </c>
      <c r="B165" s="22" t="s">
        <v>644</v>
      </c>
      <c r="C165" s="23" t="s">
        <v>645</v>
      </c>
      <c r="D165" s="24" t="s">
        <v>84</v>
      </c>
      <c r="E165" s="25">
        <v>5</v>
      </c>
      <c r="F165" s="25"/>
      <c r="G165" s="61">
        <f t="shared" si="20"/>
        <v>0</v>
      </c>
    </row>
    <row r="166" spans="1:7" s="8" customFormat="1">
      <c r="A166" s="21" t="s">
        <v>646</v>
      </c>
      <c r="B166" s="22" t="s">
        <v>647</v>
      </c>
      <c r="C166" s="23" t="s">
        <v>648</v>
      </c>
      <c r="D166" s="24" t="s">
        <v>84</v>
      </c>
      <c r="E166" s="25">
        <v>5</v>
      </c>
      <c r="F166" s="25"/>
      <c r="G166" s="61">
        <f t="shared" si="20"/>
        <v>0</v>
      </c>
    </row>
    <row r="167" spans="1:7" s="8" customFormat="1" ht="25.5">
      <c r="A167" s="21" t="s">
        <v>649</v>
      </c>
      <c r="B167" s="22" t="s">
        <v>650</v>
      </c>
      <c r="C167" s="23" t="s">
        <v>651</v>
      </c>
      <c r="D167" s="24" t="s">
        <v>84</v>
      </c>
      <c r="E167" s="25">
        <v>1</v>
      </c>
      <c r="F167" s="25"/>
      <c r="G167" s="61">
        <f t="shared" si="20"/>
        <v>0</v>
      </c>
    </row>
    <row r="168" spans="1:7" s="8" customFormat="1">
      <c r="A168" s="21" t="s">
        <v>652</v>
      </c>
      <c r="B168" s="22" t="s">
        <v>653</v>
      </c>
      <c r="C168" s="23" t="s">
        <v>654</v>
      </c>
      <c r="D168" s="24" t="s">
        <v>84</v>
      </c>
      <c r="E168" s="25">
        <v>17</v>
      </c>
      <c r="F168" s="25"/>
      <c r="G168" s="61">
        <f t="shared" si="20"/>
        <v>0</v>
      </c>
    </row>
    <row r="169" spans="1:7" s="8" customFormat="1" ht="44.25" customHeight="1">
      <c r="A169" s="21" t="s">
        <v>655</v>
      </c>
      <c r="B169" s="22" t="s">
        <v>656</v>
      </c>
      <c r="C169" s="23" t="s">
        <v>657</v>
      </c>
      <c r="D169" s="24" t="s">
        <v>84</v>
      </c>
      <c r="E169" s="25">
        <f>(5+5+1)*2</f>
        <v>22</v>
      </c>
      <c r="F169" s="25"/>
      <c r="G169" s="61">
        <f t="shared" si="20"/>
        <v>0</v>
      </c>
    </row>
    <row r="170" spans="1:7" s="8" customFormat="1" ht="44.25" customHeight="1">
      <c r="A170" s="21" t="s">
        <v>658</v>
      </c>
      <c r="B170" s="22" t="s">
        <v>659</v>
      </c>
      <c r="C170" s="23" t="s">
        <v>660</v>
      </c>
      <c r="D170" s="24" t="s">
        <v>84</v>
      </c>
      <c r="E170" s="25">
        <v>17</v>
      </c>
      <c r="F170" s="25"/>
      <c r="G170" s="61">
        <f t="shared" si="20"/>
        <v>0</v>
      </c>
    </row>
    <row r="171" spans="1:7" s="6" customFormat="1">
      <c r="A171" s="33" t="s">
        <v>837</v>
      </c>
      <c r="B171" s="34"/>
      <c r="C171" s="47"/>
      <c r="D171" s="34"/>
      <c r="E171" s="34"/>
      <c r="F171" s="35"/>
      <c r="G171" s="60">
        <f>G175+G172+G190</f>
        <v>0</v>
      </c>
    </row>
    <row r="172" spans="1:7" s="8" customFormat="1">
      <c r="A172" s="32" t="s">
        <v>521</v>
      </c>
      <c r="B172" s="106" t="s">
        <v>1103</v>
      </c>
      <c r="C172" s="107"/>
      <c r="D172" s="107"/>
      <c r="E172" s="107"/>
      <c r="F172" s="108"/>
      <c r="G172" s="62">
        <f>SUM(G173:G174)</f>
        <v>0</v>
      </c>
    </row>
    <row r="173" spans="1:7" s="8" customFormat="1" ht="25.5">
      <c r="A173" s="21" t="s">
        <v>9</v>
      </c>
      <c r="B173" s="22" t="s">
        <v>1106</v>
      </c>
      <c r="C173" s="23" t="s">
        <v>1107</v>
      </c>
      <c r="D173" s="24" t="s">
        <v>84</v>
      </c>
      <c r="E173" s="25">
        <v>55</v>
      </c>
      <c r="F173" s="25"/>
      <c r="G173" s="61">
        <f t="shared" ref="G173:G174" si="21">E173*F173</f>
        <v>0</v>
      </c>
    </row>
    <row r="174" spans="1:7" s="8" customFormat="1" ht="25.5">
      <c r="A174" s="21" t="s">
        <v>12</v>
      </c>
      <c r="B174" s="22" t="s">
        <v>1108</v>
      </c>
      <c r="C174" s="23" t="s">
        <v>1109</v>
      </c>
      <c r="D174" s="24" t="s">
        <v>84</v>
      </c>
      <c r="E174" s="25">
        <v>60</v>
      </c>
      <c r="F174" s="25"/>
      <c r="G174" s="61">
        <f t="shared" si="21"/>
        <v>0</v>
      </c>
    </row>
    <row r="175" spans="1:7" s="8" customFormat="1">
      <c r="A175" s="32" t="s">
        <v>77</v>
      </c>
      <c r="B175" s="106" t="s">
        <v>838</v>
      </c>
      <c r="C175" s="107"/>
      <c r="D175" s="107"/>
      <c r="E175" s="107"/>
      <c r="F175" s="108"/>
      <c r="G175" s="62">
        <f>SUM(G176:G189)</f>
        <v>0</v>
      </c>
    </row>
    <row r="176" spans="1:7" s="8" customFormat="1" ht="25.5">
      <c r="A176" s="21" t="s">
        <v>79</v>
      </c>
      <c r="B176" s="22" t="s">
        <v>839</v>
      </c>
      <c r="C176" s="23" t="s">
        <v>840</v>
      </c>
      <c r="D176" s="24" t="s">
        <v>461</v>
      </c>
      <c r="E176" s="25">
        <v>7</v>
      </c>
      <c r="F176" s="25"/>
      <c r="G176" s="61">
        <f t="shared" ref="G176:G189" si="22">E176*F176</f>
        <v>0</v>
      </c>
    </row>
    <row r="177" spans="1:7" s="8" customFormat="1" ht="25.5">
      <c r="A177" s="21" t="s">
        <v>104</v>
      </c>
      <c r="B177" s="22" t="s">
        <v>839</v>
      </c>
      <c r="C177" s="23" t="s">
        <v>841</v>
      </c>
      <c r="D177" s="24" t="s">
        <v>461</v>
      </c>
      <c r="E177" s="25">
        <v>33</v>
      </c>
      <c r="F177" s="25"/>
      <c r="G177" s="61">
        <f t="shared" si="22"/>
        <v>0</v>
      </c>
    </row>
    <row r="178" spans="1:7" s="8" customFormat="1" ht="25.5">
      <c r="A178" s="21" t="s">
        <v>119</v>
      </c>
      <c r="B178" s="22" t="s">
        <v>839</v>
      </c>
      <c r="C178" s="23" t="s">
        <v>842</v>
      </c>
      <c r="D178" s="24" t="s">
        <v>461</v>
      </c>
      <c r="E178" s="25">
        <v>26</v>
      </c>
      <c r="F178" s="25"/>
      <c r="G178" s="61">
        <f t="shared" si="22"/>
        <v>0</v>
      </c>
    </row>
    <row r="179" spans="1:7" s="8" customFormat="1" ht="25.5">
      <c r="A179" s="21" t="s">
        <v>875</v>
      </c>
      <c r="B179" s="22" t="s">
        <v>839</v>
      </c>
      <c r="C179" s="23" t="s">
        <v>843</v>
      </c>
      <c r="D179" s="24" t="s">
        <v>461</v>
      </c>
      <c r="E179" s="25">
        <v>52</v>
      </c>
      <c r="F179" s="25"/>
      <c r="G179" s="61">
        <f t="shared" si="22"/>
        <v>0</v>
      </c>
    </row>
    <row r="180" spans="1:7" s="8" customFormat="1" ht="25.5">
      <c r="A180" s="21" t="s">
        <v>876</v>
      </c>
      <c r="B180" s="22" t="s">
        <v>854</v>
      </c>
      <c r="C180" s="23" t="s">
        <v>855</v>
      </c>
      <c r="D180" s="24" t="s">
        <v>84</v>
      </c>
      <c r="E180" s="25">
        <v>3</v>
      </c>
      <c r="F180" s="25"/>
      <c r="G180" s="61">
        <f t="shared" si="22"/>
        <v>0</v>
      </c>
    </row>
    <row r="181" spans="1:7" s="8" customFormat="1" ht="25.5">
      <c r="A181" s="21" t="s">
        <v>877</v>
      </c>
      <c r="B181" s="22" t="s">
        <v>854</v>
      </c>
      <c r="C181" s="23" t="s">
        <v>855</v>
      </c>
      <c r="D181" s="24" t="s">
        <v>84</v>
      </c>
      <c r="E181" s="25">
        <v>8</v>
      </c>
      <c r="F181" s="25"/>
      <c r="G181" s="61">
        <f t="shared" si="22"/>
        <v>0</v>
      </c>
    </row>
    <row r="182" spans="1:7" s="8" customFormat="1">
      <c r="A182" s="21" t="s">
        <v>878</v>
      </c>
      <c r="B182" s="22" t="s">
        <v>856</v>
      </c>
      <c r="C182" s="23" t="s">
        <v>857</v>
      </c>
      <c r="D182" s="24" t="s">
        <v>84</v>
      </c>
      <c r="E182" s="25">
        <v>17</v>
      </c>
      <c r="F182" s="25"/>
      <c r="G182" s="61">
        <f t="shared" si="22"/>
        <v>0</v>
      </c>
    </row>
    <row r="183" spans="1:7" s="8" customFormat="1">
      <c r="A183" s="21" t="s">
        <v>880</v>
      </c>
      <c r="B183" s="22" t="s">
        <v>856</v>
      </c>
      <c r="C183" s="23" t="s">
        <v>857</v>
      </c>
      <c r="D183" s="24" t="s">
        <v>84</v>
      </c>
      <c r="E183" s="25">
        <v>6</v>
      </c>
      <c r="F183" s="25"/>
      <c r="G183" s="61">
        <f t="shared" si="22"/>
        <v>0</v>
      </c>
    </row>
    <row r="184" spans="1:7" s="8" customFormat="1">
      <c r="A184" s="21" t="s">
        <v>881</v>
      </c>
      <c r="B184" s="22" t="s">
        <v>858</v>
      </c>
      <c r="C184" s="23" t="s">
        <v>859</v>
      </c>
      <c r="D184" s="24" t="s">
        <v>84</v>
      </c>
      <c r="E184" s="25">
        <v>5</v>
      </c>
      <c r="F184" s="25"/>
      <c r="G184" s="61">
        <f t="shared" si="22"/>
        <v>0</v>
      </c>
    </row>
    <row r="185" spans="1:7" s="8" customFormat="1">
      <c r="A185" s="21" t="s">
        <v>884</v>
      </c>
      <c r="B185" s="22" t="s">
        <v>860</v>
      </c>
      <c r="C185" s="23" t="s">
        <v>861</v>
      </c>
      <c r="D185" s="24" t="s">
        <v>84</v>
      </c>
      <c r="E185" s="25">
        <v>3</v>
      </c>
      <c r="F185" s="25"/>
      <c r="G185" s="61">
        <f t="shared" si="22"/>
        <v>0</v>
      </c>
    </row>
    <row r="186" spans="1:7" s="8" customFormat="1">
      <c r="A186" s="21" t="s">
        <v>885</v>
      </c>
      <c r="B186" s="22" t="s">
        <v>862</v>
      </c>
      <c r="C186" s="23" t="s">
        <v>863</v>
      </c>
      <c r="D186" s="24" t="s">
        <v>84</v>
      </c>
      <c r="E186" s="25">
        <v>42</v>
      </c>
      <c r="F186" s="25"/>
      <c r="G186" s="61">
        <f t="shared" si="22"/>
        <v>0</v>
      </c>
    </row>
    <row r="187" spans="1:7" s="8" customFormat="1" ht="38.25">
      <c r="A187" s="21" t="s">
        <v>1394</v>
      </c>
      <c r="B187" s="22" t="s">
        <v>846</v>
      </c>
      <c r="C187" s="23" t="s">
        <v>847</v>
      </c>
      <c r="D187" s="24" t="s">
        <v>84</v>
      </c>
      <c r="E187" s="25">
        <v>118</v>
      </c>
      <c r="F187" s="25"/>
      <c r="G187" s="61">
        <f t="shared" si="22"/>
        <v>0</v>
      </c>
    </row>
    <row r="188" spans="1:7" s="8" customFormat="1">
      <c r="A188" s="21" t="s">
        <v>1395</v>
      </c>
      <c r="B188" s="22" t="s">
        <v>866</v>
      </c>
      <c r="C188" s="23" t="s">
        <v>867</v>
      </c>
      <c r="D188" s="24" t="s">
        <v>52</v>
      </c>
      <c r="E188" s="25">
        <v>1020</v>
      </c>
      <c r="F188" s="25"/>
      <c r="G188" s="61">
        <f t="shared" si="22"/>
        <v>0</v>
      </c>
    </row>
    <row r="189" spans="1:7" s="8" customFormat="1" ht="38.25">
      <c r="A189" s="21" t="s">
        <v>1396</v>
      </c>
      <c r="B189" s="22" t="s">
        <v>868</v>
      </c>
      <c r="C189" s="23" t="s">
        <v>870</v>
      </c>
      <c r="D189" s="24" t="s">
        <v>52</v>
      </c>
      <c r="E189" s="25">
        <v>1020</v>
      </c>
      <c r="F189" s="25"/>
      <c r="G189" s="61">
        <f t="shared" si="22"/>
        <v>0</v>
      </c>
    </row>
    <row r="190" spans="1:7" s="8" customFormat="1">
      <c r="A190" s="32" t="s">
        <v>133</v>
      </c>
      <c r="B190" s="106" t="s">
        <v>1304</v>
      </c>
      <c r="C190" s="107"/>
      <c r="D190" s="107"/>
      <c r="E190" s="107"/>
      <c r="F190" s="108"/>
      <c r="G190" s="62">
        <f>SUM(G191:G191)</f>
        <v>0</v>
      </c>
    </row>
    <row r="191" spans="1:7" s="8" customFormat="1" ht="25.5">
      <c r="A191" s="21" t="s">
        <v>135</v>
      </c>
      <c r="B191" s="22" t="s">
        <v>1163</v>
      </c>
      <c r="C191" s="23" t="s">
        <v>1305</v>
      </c>
      <c r="D191" s="24" t="s">
        <v>197</v>
      </c>
      <c r="E191" s="25">
        <v>1</v>
      </c>
      <c r="F191" s="25"/>
      <c r="G191" s="61">
        <f t="shared" ref="G191" si="23">E191*F191</f>
        <v>0</v>
      </c>
    </row>
    <row r="192" spans="1:7" s="26" customFormat="1" ht="33" customHeight="1">
      <c r="A192" s="36"/>
      <c r="B192" s="37"/>
      <c r="C192" s="48"/>
      <c r="D192" s="110" t="s">
        <v>1306</v>
      </c>
      <c r="E192" s="111"/>
      <c r="F192" s="112"/>
      <c r="G192" s="65">
        <f>G3+G115+G171</f>
        <v>0</v>
      </c>
    </row>
    <row r="193" spans="1:8" s="26" customFormat="1" ht="15.75">
      <c r="A193" s="38"/>
      <c r="B193" s="39"/>
      <c r="C193" s="49"/>
      <c r="D193" s="40" t="s">
        <v>1155</v>
      </c>
      <c r="E193" s="41"/>
      <c r="F193" s="42"/>
      <c r="G193" s="65">
        <f>G192*23%</f>
        <v>0</v>
      </c>
    </row>
    <row r="194" spans="1:8" s="26" customFormat="1" ht="29.25" customHeight="1">
      <c r="A194" s="43"/>
      <c r="B194" s="44"/>
      <c r="C194" s="50"/>
      <c r="D194" s="110" t="s">
        <v>1307</v>
      </c>
      <c r="E194" s="111"/>
      <c r="F194" s="112"/>
      <c r="G194" s="65">
        <f>G192+G193</f>
        <v>0</v>
      </c>
    </row>
    <row r="196" spans="1:8" ht="42" customHeight="1"/>
    <row r="197" spans="1:8">
      <c r="D197" s="114" t="s">
        <v>1343</v>
      </c>
      <c r="E197" s="114"/>
      <c r="F197" s="114"/>
      <c r="G197" s="114"/>
    </row>
    <row r="198" spans="1:8" ht="15" customHeight="1">
      <c r="D198" s="109" t="s">
        <v>1344</v>
      </c>
      <c r="E198" s="109"/>
      <c r="F198" s="109"/>
      <c r="G198" s="109"/>
      <c r="H198" s="67"/>
    </row>
  </sheetData>
  <mergeCells count="22">
    <mergeCell ref="A1:G1"/>
    <mergeCell ref="B4:C4"/>
    <mergeCell ref="B175:F175"/>
    <mergeCell ref="B172:F172"/>
    <mergeCell ref="D197:G197"/>
    <mergeCell ref="B8:C8"/>
    <mergeCell ref="D198:G198"/>
    <mergeCell ref="B49:F49"/>
    <mergeCell ref="B190:F190"/>
    <mergeCell ref="D192:F192"/>
    <mergeCell ref="D194:F194"/>
    <mergeCell ref="H99:K99"/>
    <mergeCell ref="B117:F117"/>
    <mergeCell ref="H9:L9"/>
    <mergeCell ref="B22:C22"/>
    <mergeCell ref="H24:L24"/>
    <mergeCell ref="B28:C28"/>
    <mergeCell ref="H90:K90"/>
    <mergeCell ref="B74:F74"/>
    <mergeCell ref="B83:F83"/>
    <mergeCell ref="H100:K100"/>
    <mergeCell ref="B111:F111"/>
  </mergeCells>
  <phoneticPr fontId="24" type="noConversion"/>
  <pageMargins left="0.7" right="0.7" top="0.75" bottom="0.75" header="0.3" footer="0.3"/>
  <pageSetup paperSize="9" scale="7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62"/>
  <sheetViews>
    <sheetView view="pageBreakPreview" topLeftCell="A166" zoomScale="120" zoomScaleNormal="110" zoomScaleSheetLayoutView="120" workbookViewId="0">
      <selection activeCell="C182" sqref="C182"/>
    </sheetView>
  </sheetViews>
  <sheetFormatPr defaultRowHeight="15"/>
  <cols>
    <col min="1" max="1" width="6" customWidth="1"/>
    <col min="2" max="2" width="18.42578125" customWidth="1"/>
    <col min="3" max="3" width="48.85546875" style="51" customWidth="1"/>
    <col min="4" max="4" width="7.42578125" customWidth="1"/>
    <col min="5" max="6" width="11.28515625" customWidth="1"/>
    <col min="7" max="7" width="13.28515625" customWidth="1"/>
  </cols>
  <sheetData>
    <row r="1" spans="1:11" ht="51.75" customHeight="1">
      <c r="A1" s="113"/>
      <c r="B1" s="113"/>
      <c r="C1" s="113"/>
      <c r="D1" s="113"/>
      <c r="E1" s="113"/>
      <c r="F1" s="113"/>
      <c r="G1" s="113"/>
    </row>
    <row r="2" spans="1:11" s="6" customFormat="1" ht="25.5">
      <c r="A2" s="1" t="s">
        <v>0</v>
      </c>
      <c r="B2" s="2" t="s">
        <v>1</v>
      </c>
      <c r="C2" s="3" t="s">
        <v>2</v>
      </c>
      <c r="D2" s="2" t="s">
        <v>3</v>
      </c>
      <c r="E2" s="4" t="s">
        <v>4</v>
      </c>
      <c r="F2" s="5" t="s">
        <v>5</v>
      </c>
      <c r="G2" s="4" t="s">
        <v>6</v>
      </c>
    </row>
    <row r="3" spans="1:11" s="6" customFormat="1">
      <c r="A3" s="33" t="s">
        <v>7</v>
      </c>
      <c r="B3" s="34"/>
      <c r="C3" s="47"/>
      <c r="D3" s="34"/>
      <c r="E3" s="34"/>
      <c r="F3" s="35"/>
      <c r="G3" s="60">
        <f>G4+G32+G66+G121+G167+G178+G199+G208+G217</f>
        <v>0</v>
      </c>
      <c r="H3" s="7"/>
      <c r="I3" s="7"/>
      <c r="J3" s="7"/>
      <c r="K3" s="7"/>
    </row>
    <row r="4" spans="1:11" s="8" customFormat="1">
      <c r="A4" s="27">
        <v>1</v>
      </c>
      <c r="B4" s="28" t="s">
        <v>8</v>
      </c>
      <c r="C4" s="29"/>
      <c r="D4" s="30"/>
      <c r="E4" s="30"/>
      <c r="F4" s="31"/>
      <c r="G4" s="62">
        <f>SUM(G5:G31)</f>
        <v>0</v>
      </c>
    </row>
    <row r="5" spans="1:11" s="14" customFormat="1" ht="25.5">
      <c r="A5" s="9" t="s">
        <v>9</v>
      </c>
      <c r="B5" s="10" t="s">
        <v>10</v>
      </c>
      <c r="C5" s="11" t="s">
        <v>1433</v>
      </c>
      <c r="D5" s="12" t="s">
        <v>11</v>
      </c>
      <c r="E5" s="13">
        <f>13.92*0.7*0.1+2.2*2.53*0.1</f>
        <v>1.5310000000000001</v>
      </c>
      <c r="F5" s="13"/>
      <c r="G5" s="59">
        <f t="shared" ref="G5:G31" si="0">E5*F5</f>
        <v>0</v>
      </c>
    </row>
    <row r="6" spans="1:11" s="14" customFormat="1" ht="25.5">
      <c r="A6" s="9" t="s">
        <v>12</v>
      </c>
      <c r="B6" s="10" t="s">
        <v>14</v>
      </c>
      <c r="C6" s="11" t="s">
        <v>15</v>
      </c>
      <c r="D6" s="12" t="s">
        <v>11</v>
      </c>
      <c r="E6" s="13">
        <f>13.92*0.5*0.4</f>
        <v>2.7840000000000003</v>
      </c>
      <c r="F6" s="13"/>
      <c r="G6" s="59">
        <f t="shared" si="0"/>
        <v>0</v>
      </c>
    </row>
    <row r="7" spans="1:11" s="14" customFormat="1" ht="25.5">
      <c r="A7" s="9" t="s">
        <v>13</v>
      </c>
      <c r="B7" s="10" t="s">
        <v>17</v>
      </c>
      <c r="C7" s="11" t="s">
        <v>18</v>
      </c>
      <c r="D7" s="12" t="s">
        <v>11</v>
      </c>
      <c r="E7" s="13">
        <f>2*2.33*0.3</f>
        <v>1.3979999999999999</v>
      </c>
      <c r="F7" s="13"/>
      <c r="G7" s="59">
        <f t="shared" si="0"/>
        <v>0</v>
      </c>
    </row>
    <row r="8" spans="1:11" s="14" customFormat="1" ht="25.5">
      <c r="A8" s="9" t="s">
        <v>16</v>
      </c>
      <c r="B8" s="10" t="s">
        <v>20</v>
      </c>
      <c r="C8" s="11" t="s">
        <v>21</v>
      </c>
      <c r="D8" s="12" t="s">
        <v>11</v>
      </c>
      <c r="E8" s="13">
        <f>10*0.5*1.2</f>
        <v>6</v>
      </c>
      <c r="F8" s="13"/>
      <c r="G8" s="59">
        <f t="shared" si="0"/>
        <v>0</v>
      </c>
    </row>
    <row r="9" spans="1:11" s="14" customFormat="1" ht="25.5">
      <c r="A9" s="9" t="s">
        <v>19</v>
      </c>
      <c r="B9" s="10" t="s">
        <v>23</v>
      </c>
      <c r="C9" s="11" t="s">
        <v>1476</v>
      </c>
      <c r="D9" s="12" t="s">
        <v>24</v>
      </c>
      <c r="E9" s="13">
        <f>20/1000</f>
        <v>0.02</v>
      </c>
      <c r="F9" s="13"/>
      <c r="G9" s="59">
        <f t="shared" si="0"/>
        <v>0</v>
      </c>
    </row>
    <row r="10" spans="1:11" s="14" customFormat="1" ht="25.5">
      <c r="A10" s="9" t="s">
        <v>22</v>
      </c>
      <c r="B10" s="10" t="s">
        <v>26</v>
      </c>
      <c r="C10" s="11" t="s">
        <v>27</v>
      </c>
      <c r="D10" s="12" t="s">
        <v>24</v>
      </c>
      <c r="E10" s="13">
        <f>207/1000</f>
        <v>0.20699999999999999</v>
      </c>
      <c r="F10" s="13"/>
      <c r="G10" s="59">
        <f t="shared" si="0"/>
        <v>0</v>
      </c>
    </row>
    <row r="11" spans="1:11" s="14" customFormat="1" ht="25.5">
      <c r="A11" s="9" t="s">
        <v>25</v>
      </c>
      <c r="B11" s="10" t="s">
        <v>29</v>
      </c>
      <c r="C11" s="11" t="s">
        <v>30</v>
      </c>
      <c r="D11" s="12" t="s">
        <v>31</v>
      </c>
      <c r="E11" s="13">
        <f>2.92*5.52</f>
        <v>16.118399999999998</v>
      </c>
      <c r="F11" s="13"/>
      <c r="G11" s="59">
        <f t="shared" si="0"/>
        <v>0</v>
      </c>
    </row>
    <row r="12" spans="1:11" s="14" customFormat="1" ht="25.5">
      <c r="A12" s="9" t="s">
        <v>28</v>
      </c>
      <c r="B12" s="10" t="s">
        <v>26</v>
      </c>
      <c r="C12" s="11" t="s">
        <v>33</v>
      </c>
      <c r="D12" s="12" t="s">
        <v>24</v>
      </c>
      <c r="E12" s="13">
        <f>271/1000</f>
        <v>0.27100000000000002</v>
      </c>
      <c r="F12" s="13"/>
      <c r="G12" s="59">
        <f t="shared" si="0"/>
        <v>0</v>
      </c>
    </row>
    <row r="13" spans="1:11" s="14" customFormat="1" ht="25.5">
      <c r="A13" s="9" t="s">
        <v>32</v>
      </c>
      <c r="B13" s="10" t="s">
        <v>35</v>
      </c>
      <c r="C13" s="11" t="s">
        <v>36</v>
      </c>
      <c r="D13" s="12" t="s">
        <v>11</v>
      </c>
      <c r="E13" s="13">
        <f>(2.62+2.2+2.44+4.62+2.02)*0.3*2.64</f>
        <v>11.008799999999997</v>
      </c>
      <c r="F13" s="13"/>
      <c r="G13" s="59">
        <f t="shared" si="0"/>
        <v>0</v>
      </c>
    </row>
    <row r="14" spans="1:11" s="14" customFormat="1">
      <c r="A14" s="9" t="s">
        <v>34</v>
      </c>
      <c r="B14" s="10" t="s">
        <v>35</v>
      </c>
      <c r="C14" s="11" t="s">
        <v>38</v>
      </c>
      <c r="D14" s="12" t="s">
        <v>11</v>
      </c>
      <c r="E14" s="13">
        <f>8.66*0.2*9.68</f>
        <v>16.76576</v>
      </c>
      <c r="F14" s="13"/>
      <c r="G14" s="59">
        <f t="shared" si="0"/>
        <v>0</v>
      </c>
    </row>
    <row r="15" spans="1:11" s="14" customFormat="1" ht="25.5">
      <c r="A15" s="9" t="s">
        <v>37</v>
      </c>
      <c r="B15" s="10" t="s">
        <v>1428</v>
      </c>
      <c r="C15" s="11" t="s">
        <v>1429</v>
      </c>
      <c r="D15" s="12" t="s">
        <v>31</v>
      </c>
      <c r="E15" s="13">
        <f>2.2*2.33</f>
        <v>5.1260000000000003</v>
      </c>
      <c r="F15" s="13"/>
      <c r="G15" s="59">
        <f t="shared" si="0"/>
        <v>0</v>
      </c>
    </row>
    <row r="16" spans="1:11" s="14" customFormat="1" ht="38.25">
      <c r="A16" s="9" t="s">
        <v>39</v>
      </c>
      <c r="B16" s="10" t="s">
        <v>42</v>
      </c>
      <c r="C16" s="11" t="s">
        <v>43</v>
      </c>
      <c r="D16" s="12" t="s">
        <v>11</v>
      </c>
      <c r="E16" s="13">
        <f>0.2*0.2*7.86*6</f>
        <v>1.8864000000000005</v>
      </c>
      <c r="F16" s="13"/>
      <c r="G16" s="59">
        <f t="shared" si="0"/>
        <v>0</v>
      </c>
    </row>
    <row r="17" spans="1:7" s="14" customFormat="1" ht="38.25">
      <c r="A17" s="9" t="s">
        <v>40</v>
      </c>
      <c r="B17" s="10" t="s">
        <v>45</v>
      </c>
      <c r="C17" s="11" t="s">
        <v>1430</v>
      </c>
      <c r="D17" s="12" t="s">
        <v>31</v>
      </c>
      <c r="E17" s="13">
        <f>0.4*2.5+0.4*2.2</f>
        <v>1.8800000000000001</v>
      </c>
      <c r="F17" s="13"/>
      <c r="G17" s="59">
        <f t="shared" si="0"/>
        <v>0</v>
      </c>
    </row>
    <row r="18" spans="1:7" s="14" customFormat="1" ht="25.5">
      <c r="A18" s="9" t="s">
        <v>41</v>
      </c>
      <c r="B18" s="10" t="s">
        <v>23</v>
      </c>
      <c r="C18" s="11" t="s">
        <v>1476</v>
      </c>
      <c r="D18" s="12" t="s">
        <v>24</v>
      </c>
      <c r="E18" s="13">
        <f>45/1000</f>
        <v>4.4999999999999998E-2</v>
      </c>
      <c r="F18" s="13"/>
      <c r="G18" s="59">
        <f t="shared" si="0"/>
        <v>0</v>
      </c>
    </row>
    <row r="19" spans="1:7" s="14" customFormat="1" ht="25.5">
      <c r="A19" s="9" t="s">
        <v>44</v>
      </c>
      <c r="B19" s="10" t="s">
        <v>26</v>
      </c>
      <c r="C19" s="11" t="s">
        <v>1431</v>
      </c>
      <c r="D19" s="12" t="s">
        <v>24</v>
      </c>
      <c r="E19" s="13">
        <f>(14+367)/1000</f>
        <v>0.38100000000000001</v>
      </c>
      <c r="F19" s="13"/>
      <c r="G19" s="59">
        <f t="shared" si="0"/>
        <v>0</v>
      </c>
    </row>
    <row r="20" spans="1:7" s="14" customFormat="1" ht="38.25">
      <c r="A20" s="9" t="s">
        <v>46</v>
      </c>
      <c r="B20" s="10" t="s">
        <v>51</v>
      </c>
      <c r="C20" s="11" t="s">
        <v>1432</v>
      </c>
      <c r="D20" s="12" t="s">
        <v>52</v>
      </c>
      <c r="E20" s="13">
        <f>1.5*4+1.8*2</f>
        <v>9.6</v>
      </c>
      <c r="F20" s="13"/>
      <c r="G20" s="59">
        <f t="shared" si="0"/>
        <v>0</v>
      </c>
    </row>
    <row r="21" spans="1:7" s="14" customFormat="1">
      <c r="A21" s="9" t="s">
        <v>47</v>
      </c>
      <c r="B21" s="10" t="s">
        <v>55</v>
      </c>
      <c r="C21" s="11" t="s">
        <v>56</v>
      </c>
      <c r="D21" s="12" t="s">
        <v>11</v>
      </c>
      <c r="E21" s="13">
        <f>0.068+0.104+0.398+0.258+0.095+0.331+0.152+0.227+0.279+0.151+0.092+0.156+0.112+0.227+0.252</f>
        <v>2.9020000000000001</v>
      </c>
      <c r="F21" s="13"/>
      <c r="G21" s="59">
        <f t="shared" si="0"/>
        <v>0</v>
      </c>
    </row>
    <row r="22" spans="1:7" s="14" customFormat="1" ht="25.5">
      <c r="A22" s="9" t="s">
        <v>48</v>
      </c>
      <c r="B22" s="10" t="s">
        <v>66</v>
      </c>
      <c r="C22" s="11" t="s">
        <v>67</v>
      </c>
      <c r="D22" s="12" t="s">
        <v>68</v>
      </c>
      <c r="E22" s="13">
        <v>20</v>
      </c>
      <c r="F22" s="13"/>
      <c r="G22" s="59">
        <f t="shared" si="0"/>
        <v>0</v>
      </c>
    </row>
    <row r="23" spans="1:7" s="14" customFormat="1">
      <c r="A23" s="9" t="s">
        <v>49</v>
      </c>
      <c r="B23" s="10" t="s">
        <v>953</v>
      </c>
      <c r="C23" s="11" t="s">
        <v>1466</v>
      </c>
      <c r="D23" s="12" t="s">
        <v>11</v>
      </c>
      <c r="E23" s="13">
        <f>2.9+0.25*0.25*0.25*20</f>
        <v>3.2124999999999999</v>
      </c>
      <c r="F23" s="13"/>
      <c r="G23" s="59">
        <f t="shared" si="0"/>
        <v>0</v>
      </c>
    </row>
    <row r="24" spans="1:7" s="14" customFormat="1" ht="25.5">
      <c r="A24" s="9" t="s">
        <v>50</v>
      </c>
      <c r="B24" s="10" t="s">
        <v>70</v>
      </c>
      <c r="C24" s="11" t="s">
        <v>71</v>
      </c>
      <c r="D24" s="12" t="s">
        <v>31</v>
      </c>
      <c r="E24" s="13">
        <f>0.61*0.43*6</f>
        <v>1.5737999999999999</v>
      </c>
      <c r="F24" s="13"/>
      <c r="G24" s="59">
        <f t="shared" si="0"/>
        <v>0</v>
      </c>
    </row>
    <row r="25" spans="1:7" s="14" customFormat="1" ht="25.5">
      <c r="A25" s="9" t="s">
        <v>53</v>
      </c>
      <c r="B25" s="10" t="s">
        <v>65</v>
      </c>
      <c r="C25" s="11" t="s">
        <v>1435</v>
      </c>
      <c r="D25" s="12" t="s">
        <v>24</v>
      </c>
      <c r="E25" s="13">
        <f>1280.6/1000</f>
        <v>1.2806</v>
      </c>
      <c r="F25" s="13"/>
      <c r="G25" s="59">
        <f t="shared" si="0"/>
        <v>0</v>
      </c>
    </row>
    <row r="26" spans="1:7" s="14" customFormat="1">
      <c r="A26" s="9" t="s">
        <v>54</v>
      </c>
      <c r="B26" s="10" t="s">
        <v>42</v>
      </c>
      <c r="C26" s="11" t="s">
        <v>69</v>
      </c>
      <c r="D26" s="12" t="s">
        <v>11</v>
      </c>
      <c r="E26" s="13">
        <f>0.25*0.25*0.25*20</f>
        <v>0.3125</v>
      </c>
      <c r="F26" s="13"/>
      <c r="G26" s="59">
        <f t="shared" si="0"/>
        <v>0</v>
      </c>
    </row>
    <row r="27" spans="1:7" s="14" customFormat="1">
      <c r="A27" s="9" t="s">
        <v>57</v>
      </c>
      <c r="B27" s="10" t="s">
        <v>953</v>
      </c>
      <c r="C27" s="11" t="s">
        <v>1436</v>
      </c>
      <c r="D27" s="12" t="s">
        <v>11</v>
      </c>
      <c r="E27" s="13">
        <f>(0.26*0.2*1.3+0.37*0.2*1.4+0.39*0.2*1.7*3)+(0.46*0.2*1.4*2+0.28*0.2*1.7*1+0.46*0.2*1.8*2+0.38*0.2*2*1+0.42*0.2*2.7*1+0.41*0.2*3.4*1)+(0.27*0.2*1.4*2+0.27*0.2*1.7*1+0.41*0.2*1.9*1+0.28*0.2*2*1+0.42*0.2*2.7*1+0.37*0.2*3.4*1)</f>
        <v>2.8997999999999999</v>
      </c>
      <c r="F27" s="13"/>
      <c r="G27" s="59">
        <f t="shared" si="0"/>
        <v>0</v>
      </c>
    </row>
    <row r="28" spans="1:7" s="14" customFormat="1" ht="25.5">
      <c r="A28" s="9" t="s">
        <v>58</v>
      </c>
      <c r="B28" s="10" t="s">
        <v>953</v>
      </c>
      <c r="C28" s="11" t="s">
        <v>1434</v>
      </c>
      <c r="D28" s="12" t="s">
        <v>31</v>
      </c>
      <c r="E28" s="13">
        <f>(0.66*1.3+0.77*1.7+0.69*1.3*3)+(0.86*1.4*2+0.68*1.7+0.48*1.8*2+0.78*2+0.82*2.7+0.81*3.4)+(0.67*1.4*2+0.67*1.7*1+0.81*1.9*1+0.88*2*1+0.82*2.7*1+0.77*3.4*1)</f>
        <v>27.823999999999998</v>
      </c>
      <c r="F28" s="13"/>
      <c r="G28" s="59">
        <f t="shared" si="0"/>
        <v>0</v>
      </c>
    </row>
    <row r="29" spans="1:7" s="14" customFormat="1" ht="25.5">
      <c r="A29" s="9" t="s">
        <v>60</v>
      </c>
      <c r="B29" s="10" t="s">
        <v>65</v>
      </c>
      <c r="C29" s="11" t="s">
        <v>1437</v>
      </c>
      <c r="D29" s="12" t="s">
        <v>24</v>
      </c>
      <c r="E29" s="13">
        <f>3437.55/1000</f>
        <v>3.4375500000000003</v>
      </c>
      <c r="F29" s="13"/>
      <c r="G29" s="59">
        <f t="shared" si="0"/>
        <v>0</v>
      </c>
    </row>
    <row r="30" spans="1:7" s="14" customFormat="1" ht="51">
      <c r="A30" s="9" t="s">
        <v>61</v>
      </c>
      <c r="B30" s="10" t="s">
        <v>953</v>
      </c>
      <c r="C30" s="11" t="s">
        <v>1438</v>
      </c>
      <c r="D30" s="12" t="s">
        <v>31</v>
      </c>
      <c r="E30" s="13">
        <f>3.438*50</f>
        <v>171.9</v>
      </c>
      <c r="F30" s="13"/>
      <c r="G30" s="59">
        <f t="shared" si="0"/>
        <v>0</v>
      </c>
    </row>
    <row r="31" spans="1:7" s="14" customFormat="1" ht="25.5">
      <c r="A31" s="9" t="s">
        <v>62</v>
      </c>
      <c r="B31" s="10" t="s">
        <v>72</v>
      </c>
      <c r="C31" s="11" t="s">
        <v>73</v>
      </c>
      <c r="D31" s="12" t="s">
        <v>11</v>
      </c>
      <c r="E31" s="13">
        <f>0.15*0.15*9*2.83+0.15*0.15*3*3.63+0.15+0.15*3.23*3</f>
        <v>2.4216000000000002</v>
      </c>
      <c r="F31" s="13"/>
      <c r="G31" s="59">
        <f t="shared" si="0"/>
        <v>0</v>
      </c>
    </row>
    <row r="32" spans="1:7" s="8" customFormat="1">
      <c r="A32" s="32" t="s">
        <v>77</v>
      </c>
      <c r="B32" s="28" t="s">
        <v>78</v>
      </c>
      <c r="C32" s="29"/>
      <c r="D32" s="30"/>
      <c r="E32" s="30"/>
      <c r="F32" s="31"/>
      <c r="G32" s="62">
        <f>G33+G45+G58</f>
        <v>0</v>
      </c>
    </row>
    <row r="33" spans="1:7" s="8" customFormat="1">
      <c r="A33" s="18" t="s">
        <v>79</v>
      </c>
      <c r="B33" s="45" t="s">
        <v>80</v>
      </c>
      <c r="C33" s="19"/>
      <c r="D33" s="46"/>
      <c r="E33" s="46"/>
      <c r="F33" s="20"/>
      <c r="G33" s="64">
        <f>SUM(G34:G44)</f>
        <v>0</v>
      </c>
    </row>
    <row r="34" spans="1:7" s="8" customFormat="1" ht="25.5">
      <c r="A34" s="15" t="s">
        <v>81</v>
      </c>
      <c r="B34" s="10" t="s">
        <v>82</v>
      </c>
      <c r="C34" s="11" t="s">
        <v>83</v>
      </c>
      <c r="D34" s="16" t="s">
        <v>84</v>
      </c>
      <c r="E34" s="17">
        <v>7</v>
      </c>
      <c r="F34" s="17"/>
      <c r="G34" s="59">
        <f t="shared" ref="G34:G44" si="1">E34*F34</f>
        <v>0</v>
      </c>
    </row>
    <row r="35" spans="1:7" s="8" customFormat="1" ht="25.5">
      <c r="A35" s="15" t="s">
        <v>85</v>
      </c>
      <c r="B35" s="10" t="s">
        <v>1163</v>
      </c>
      <c r="C35" s="11" t="s">
        <v>1176</v>
      </c>
      <c r="D35" s="16" t="s">
        <v>197</v>
      </c>
      <c r="E35" s="17">
        <v>1</v>
      </c>
      <c r="F35" s="17"/>
      <c r="G35" s="59">
        <f t="shared" si="1"/>
        <v>0</v>
      </c>
    </row>
    <row r="36" spans="1:7" s="8" customFormat="1" ht="25.5">
      <c r="A36" s="15" t="s">
        <v>88</v>
      </c>
      <c r="B36" s="10" t="s">
        <v>86</v>
      </c>
      <c r="C36" s="11" t="s">
        <v>87</v>
      </c>
      <c r="D36" s="16" t="s">
        <v>11</v>
      </c>
      <c r="E36" s="17">
        <f>0.85+0.11+0.07+0.11+0.32+0.07</f>
        <v>1.5300000000000002</v>
      </c>
      <c r="F36" s="17"/>
      <c r="G36" s="59">
        <f t="shared" si="1"/>
        <v>0</v>
      </c>
    </row>
    <row r="37" spans="1:7" s="8" customFormat="1" ht="25.5">
      <c r="A37" s="15" t="s">
        <v>91</v>
      </c>
      <c r="B37" s="10" t="s">
        <v>89</v>
      </c>
      <c r="C37" s="11" t="s">
        <v>90</v>
      </c>
      <c r="D37" s="16" t="s">
        <v>31</v>
      </c>
      <c r="E37" s="17">
        <f>2.6*2.06</f>
        <v>5.3560000000000008</v>
      </c>
      <c r="F37" s="17"/>
      <c r="G37" s="59">
        <f t="shared" si="1"/>
        <v>0</v>
      </c>
    </row>
    <row r="38" spans="1:7" s="8" customFormat="1" ht="25.5">
      <c r="A38" s="15" t="s">
        <v>94</v>
      </c>
      <c r="B38" s="10" t="s">
        <v>1169</v>
      </c>
      <c r="C38" s="11" t="s">
        <v>1170</v>
      </c>
      <c r="D38" s="16" t="s">
        <v>11</v>
      </c>
      <c r="E38" s="17">
        <f>2.6*2.06*0.6</f>
        <v>3.2136000000000005</v>
      </c>
      <c r="F38" s="17"/>
      <c r="G38" s="59">
        <f t="shared" si="1"/>
        <v>0</v>
      </c>
    </row>
    <row r="39" spans="1:7" s="8" customFormat="1" ht="38.25">
      <c r="A39" s="15" t="s">
        <v>97</v>
      </c>
      <c r="B39" s="10" t="s">
        <v>1161</v>
      </c>
      <c r="C39" s="11" t="s">
        <v>1162</v>
      </c>
      <c r="D39" s="16" t="s">
        <v>31</v>
      </c>
      <c r="E39" s="17">
        <f>0.5*(2.44*(5.47+3.9+5.15+5.1+5.09+5.16+3.89)+2.42*(3.06+2.57+5.6+1.77+5.78)+2.4*2.7-(0.53*0.53*2+0.86*0.53*3+0.9*0.53+0.89*0.53+0.86*0.53*2+0.88*0.53*2+0.87*0.53+0.85*0.53))</f>
        <v>64.334049999999991</v>
      </c>
      <c r="F39" s="17"/>
      <c r="G39" s="59">
        <f t="shared" si="1"/>
        <v>0</v>
      </c>
    </row>
    <row r="40" spans="1:7" s="8" customFormat="1" ht="38.25">
      <c r="A40" s="15" t="s">
        <v>100</v>
      </c>
      <c r="B40" s="10" t="s">
        <v>1164</v>
      </c>
      <c r="C40" s="11" t="s">
        <v>1181</v>
      </c>
      <c r="D40" s="16" t="s">
        <v>1165</v>
      </c>
      <c r="E40" s="17">
        <v>14</v>
      </c>
      <c r="F40" s="17"/>
      <c r="G40" s="59">
        <f t="shared" si="1"/>
        <v>0</v>
      </c>
    </row>
    <row r="41" spans="1:7" s="8" customFormat="1" ht="25.5">
      <c r="A41" s="15" t="s">
        <v>102</v>
      </c>
      <c r="B41" s="10" t="s">
        <v>98</v>
      </c>
      <c r="C41" s="11" t="s">
        <v>99</v>
      </c>
      <c r="D41" s="16" t="s">
        <v>52</v>
      </c>
      <c r="E41" s="17">
        <f>0.9*11+0.6*2</f>
        <v>11.1</v>
      </c>
      <c r="F41" s="17"/>
      <c r="G41" s="59">
        <f t="shared" si="1"/>
        <v>0</v>
      </c>
    </row>
    <row r="42" spans="1:7" s="8" customFormat="1">
      <c r="A42" s="15" t="s">
        <v>103</v>
      </c>
      <c r="B42" s="10" t="s">
        <v>101</v>
      </c>
      <c r="C42" s="11" t="s">
        <v>1168</v>
      </c>
      <c r="D42" s="16" t="s">
        <v>11</v>
      </c>
      <c r="E42" s="17">
        <f>7*0.08*2+1.53+5.36*0.15+64.33*0.02+11.1*0.4*0.04+3.21</f>
        <v>8.1281999999999996</v>
      </c>
      <c r="F42" s="17"/>
      <c r="G42" s="59">
        <f t="shared" si="1"/>
        <v>0</v>
      </c>
    </row>
    <row r="43" spans="1:7" s="8" customFormat="1">
      <c r="A43" s="15" t="s">
        <v>677</v>
      </c>
      <c r="B43" s="10" t="s">
        <v>59</v>
      </c>
      <c r="C43" s="11" t="s">
        <v>1466</v>
      </c>
      <c r="D43" s="16" t="s">
        <v>11</v>
      </c>
      <c r="E43" s="17">
        <v>4.92</v>
      </c>
      <c r="F43" s="17"/>
      <c r="G43" s="59">
        <f t="shared" si="1"/>
        <v>0</v>
      </c>
    </row>
    <row r="44" spans="1:7" s="8" customFormat="1">
      <c r="A44" s="15" t="s">
        <v>678</v>
      </c>
      <c r="B44" s="10" t="s">
        <v>59</v>
      </c>
      <c r="C44" s="11" t="s">
        <v>1439</v>
      </c>
      <c r="D44" s="16" t="s">
        <v>11</v>
      </c>
      <c r="E44" s="17">
        <v>3.21</v>
      </c>
      <c r="F44" s="17"/>
      <c r="G44" s="59">
        <f t="shared" si="1"/>
        <v>0</v>
      </c>
    </row>
    <row r="45" spans="1:7" s="8" customFormat="1">
      <c r="A45" s="18" t="s">
        <v>104</v>
      </c>
      <c r="B45" s="102" t="s">
        <v>105</v>
      </c>
      <c r="C45" s="103"/>
      <c r="D45" s="46"/>
      <c r="E45" s="46"/>
      <c r="F45" s="20"/>
      <c r="G45" s="64">
        <f>SUM(G46:G57)</f>
        <v>0</v>
      </c>
    </row>
    <row r="46" spans="1:7" s="8" customFormat="1" ht="25.5">
      <c r="A46" s="15" t="s">
        <v>106</v>
      </c>
      <c r="B46" s="10" t="s">
        <v>1182</v>
      </c>
      <c r="C46" s="11" t="s">
        <v>1329</v>
      </c>
      <c r="D46" s="16" t="s">
        <v>11</v>
      </c>
      <c r="E46" s="17">
        <f>0.4*0.35*0.55</f>
        <v>7.6999999999999999E-2</v>
      </c>
      <c r="F46" s="17"/>
      <c r="G46" s="59">
        <f t="shared" ref="G46:G57" si="2">E46*F46</f>
        <v>0</v>
      </c>
    </row>
    <row r="47" spans="1:7" s="8" customFormat="1" ht="25.5">
      <c r="A47" s="15" t="s">
        <v>109</v>
      </c>
      <c r="B47" s="10" t="s">
        <v>107</v>
      </c>
      <c r="C47" s="11" t="s">
        <v>108</v>
      </c>
      <c r="D47" s="16" t="s">
        <v>31</v>
      </c>
      <c r="E47" s="17">
        <f>5.47*2.44</f>
        <v>13.346799999999998</v>
      </c>
      <c r="F47" s="17"/>
      <c r="G47" s="59">
        <f t="shared" si="2"/>
        <v>0</v>
      </c>
    </row>
    <row r="48" spans="1:7" s="8" customFormat="1" ht="25.5">
      <c r="A48" s="15" t="s">
        <v>110</v>
      </c>
      <c r="B48" s="10" t="s">
        <v>1166</v>
      </c>
      <c r="C48" s="11" t="s">
        <v>1167</v>
      </c>
      <c r="D48" s="16" t="s">
        <v>31</v>
      </c>
      <c r="E48" s="17">
        <f>0.5*(2.44*(5.47+3.9+5.15+5.1+5.09+5.16+3.89)+2.42*(3.06+2.57+5.6+1.77+5.78)+2.4*2.7-(0.53*0.53*2+0.86*0.53*3+0.9*0.53+0.89*0.53+0.86*0.53*2+0.88*0.53*2+0.87*0.53+0.85*0.53))</f>
        <v>64.334049999999991</v>
      </c>
      <c r="F48" s="17"/>
      <c r="G48" s="59">
        <f t="shared" si="2"/>
        <v>0</v>
      </c>
    </row>
    <row r="49" spans="1:7" s="8" customFormat="1" ht="25.5">
      <c r="A49" s="15" t="s">
        <v>111</v>
      </c>
      <c r="B49" s="10" t="s">
        <v>164</v>
      </c>
      <c r="C49" s="11" t="s">
        <v>165</v>
      </c>
      <c r="D49" s="16" t="s">
        <v>31</v>
      </c>
      <c r="E49" s="17">
        <f>2.44*5.47*2+1.74*(2.7+1.37)+0.7*1.47*2.9*2+E48+0.4*(0.55+0.15)</f>
        <v>104.35764999999999</v>
      </c>
      <c r="F49" s="17"/>
      <c r="G49" s="59">
        <f t="shared" si="2"/>
        <v>0</v>
      </c>
    </row>
    <row r="50" spans="1:7" s="8" customFormat="1" ht="25.5">
      <c r="A50" s="15" t="s">
        <v>112</v>
      </c>
      <c r="B50" s="10" t="s">
        <v>170</v>
      </c>
      <c r="C50" s="11" t="s">
        <v>171</v>
      </c>
      <c r="D50" s="16" t="s">
        <v>31</v>
      </c>
      <c r="E50" s="17">
        <f>E48+2.44*(5.47+3.9+5.15+5.25*2+0.22*2+5.1+5.25+5.3+0.22+0.17)+2.42*(3.06+5.81*2+2.57+5.78+1.77+5.78)+2.44*(2.06*6+14.72)+2.4*(3.12*2+1.36)+0.7*2.4*3.1*2+(0.7*2.4*0.94*2+2.4*1.22+1.74*(3.58+2.42))-(0.9*2.1*5*2+1.1*2.1*3*2+1.3*2.1*2*2+1.43*2.15*2+1.47*2.22*2+1.18*2.1)</f>
        <v>292.02145000000002</v>
      </c>
      <c r="F50" s="17"/>
      <c r="G50" s="59">
        <f t="shared" si="2"/>
        <v>0</v>
      </c>
    </row>
    <row r="51" spans="1:7" s="8" customFormat="1" ht="38.25">
      <c r="A51" s="15" t="s">
        <v>113</v>
      </c>
      <c r="B51" s="10" t="s">
        <v>1455</v>
      </c>
      <c r="C51" s="11" t="s">
        <v>1457</v>
      </c>
      <c r="D51" s="16" t="s">
        <v>31</v>
      </c>
      <c r="E51" s="17">
        <v>396.1</v>
      </c>
      <c r="F51" s="17"/>
      <c r="G51" s="59">
        <f t="shared" si="2"/>
        <v>0</v>
      </c>
    </row>
    <row r="52" spans="1:7" s="8" customFormat="1" ht="25.5">
      <c r="A52" s="15" t="s">
        <v>114</v>
      </c>
      <c r="B52" s="10" t="s">
        <v>1183</v>
      </c>
      <c r="C52" s="11" t="s">
        <v>1184</v>
      </c>
      <c r="D52" s="16" t="s">
        <v>84</v>
      </c>
      <c r="E52" s="17">
        <v>5</v>
      </c>
      <c r="F52" s="17"/>
      <c r="G52" s="59">
        <f t="shared" si="2"/>
        <v>0</v>
      </c>
    </row>
    <row r="53" spans="1:7" s="8" customFormat="1" ht="38.25">
      <c r="A53" s="15" t="s">
        <v>115</v>
      </c>
      <c r="B53" s="10" t="s">
        <v>175</v>
      </c>
      <c r="C53" s="11" t="s">
        <v>176</v>
      </c>
      <c r="D53" s="16" t="s">
        <v>31</v>
      </c>
      <c r="E53" s="17">
        <f>12.3+27.2+10.7+16.5+21+30+10.2+32.3+5.9</f>
        <v>166.1</v>
      </c>
      <c r="F53" s="17"/>
      <c r="G53" s="59">
        <f t="shared" si="2"/>
        <v>0</v>
      </c>
    </row>
    <row r="54" spans="1:7" s="8" customFormat="1" ht="38.25">
      <c r="A54" s="15" t="s">
        <v>1171</v>
      </c>
      <c r="B54" s="10" t="s">
        <v>1456</v>
      </c>
      <c r="C54" s="11" t="s">
        <v>1458</v>
      </c>
      <c r="D54" s="16" t="s">
        <v>31</v>
      </c>
      <c r="E54" s="17">
        <v>166.1</v>
      </c>
      <c r="F54" s="17"/>
      <c r="G54" s="59">
        <f t="shared" si="2"/>
        <v>0</v>
      </c>
    </row>
    <row r="55" spans="1:7" s="8" customFormat="1" ht="25.5">
      <c r="A55" s="15" t="s">
        <v>116</v>
      </c>
      <c r="B55" s="10" t="s">
        <v>187</v>
      </c>
      <c r="C55" s="11" t="s">
        <v>188</v>
      </c>
      <c r="D55" s="16" t="s">
        <v>31</v>
      </c>
      <c r="E55" s="17">
        <v>396.1</v>
      </c>
      <c r="F55" s="17"/>
      <c r="G55" s="59">
        <f t="shared" si="2"/>
        <v>0</v>
      </c>
    </row>
    <row r="56" spans="1:7" s="8" customFormat="1" ht="25.5">
      <c r="A56" s="15" t="s">
        <v>1172</v>
      </c>
      <c r="B56" s="10" t="s">
        <v>187</v>
      </c>
      <c r="C56" s="11" t="s">
        <v>190</v>
      </c>
      <c r="D56" s="16" t="s">
        <v>31</v>
      </c>
      <c r="E56" s="17">
        <v>166.1</v>
      </c>
      <c r="F56" s="17"/>
      <c r="G56" s="59">
        <f t="shared" si="2"/>
        <v>0</v>
      </c>
    </row>
    <row r="57" spans="1:7" s="8" customFormat="1" ht="25.5">
      <c r="A57" s="15" t="s">
        <v>1173</v>
      </c>
      <c r="B57" s="10" t="s">
        <v>117</v>
      </c>
      <c r="C57" s="11" t="s">
        <v>118</v>
      </c>
      <c r="D57" s="16" t="s">
        <v>52</v>
      </c>
      <c r="E57" s="17">
        <f>0.9*11+0.6*2</f>
        <v>11.1</v>
      </c>
      <c r="F57" s="17"/>
      <c r="G57" s="59">
        <f t="shared" si="2"/>
        <v>0</v>
      </c>
    </row>
    <row r="58" spans="1:7" s="8" customFormat="1">
      <c r="A58" s="18" t="s">
        <v>119</v>
      </c>
      <c r="B58" s="102" t="s">
        <v>120</v>
      </c>
      <c r="C58" s="103"/>
      <c r="D58" s="58"/>
      <c r="E58" s="58"/>
      <c r="F58" s="20"/>
      <c r="G58" s="64">
        <f>SUM(G59:G65)</f>
        <v>0</v>
      </c>
    </row>
    <row r="59" spans="1:7" s="8" customFormat="1" ht="25.5">
      <c r="A59" s="15" t="s">
        <v>121</v>
      </c>
      <c r="B59" s="10" t="s">
        <v>1163</v>
      </c>
      <c r="C59" s="11" t="s">
        <v>1308</v>
      </c>
      <c r="D59" s="16" t="s">
        <v>31</v>
      </c>
      <c r="E59" s="17">
        <f>12.3+27.2+10.7+16.5+30+10.2+32.3</f>
        <v>139.19999999999999</v>
      </c>
      <c r="F59" s="17"/>
      <c r="G59" s="59">
        <f t="shared" ref="G59:G65" si="3">E59*F59</f>
        <v>0</v>
      </c>
    </row>
    <row r="60" spans="1:7" s="8" customFormat="1" ht="25.5">
      <c r="A60" s="15" t="s">
        <v>124</v>
      </c>
      <c r="B60" s="10" t="s">
        <v>1180</v>
      </c>
      <c r="C60" s="11" t="s">
        <v>1177</v>
      </c>
      <c r="D60" s="16" t="s">
        <v>11</v>
      </c>
      <c r="E60" s="17">
        <f>0.9*0.9*0.35</f>
        <v>0.28349999999999997</v>
      </c>
      <c r="F60" s="17"/>
      <c r="G60" s="59">
        <f t="shared" si="3"/>
        <v>0</v>
      </c>
    </row>
    <row r="61" spans="1:7" s="8" customFormat="1">
      <c r="A61" s="15" t="s">
        <v>127</v>
      </c>
      <c r="B61" s="10" t="s">
        <v>1179</v>
      </c>
      <c r="C61" s="11" t="s">
        <v>1178</v>
      </c>
      <c r="D61" s="16" t="s">
        <v>11</v>
      </c>
      <c r="E61" s="17">
        <f>0.9*0.9*0.15</f>
        <v>0.1215</v>
      </c>
      <c r="F61" s="17"/>
      <c r="G61" s="59">
        <f t="shared" si="3"/>
        <v>0</v>
      </c>
    </row>
    <row r="62" spans="1:7" s="8" customFormat="1" ht="25.5">
      <c r="A62" s="15" t="s">
        <v>130</v>
      </c>
      <c r="B62" s="10" t="s">
        <v>122</v>
      </c>
      <c r="C62" s="11" t="s">
        <v>1440</v>
      </c>
      <c r="D62" s="16" t="s">
        <v>31</v>
      </c>
      <c r="E62" s="17">
        <f>11.8+21</f>
        <v>32.799999999999997</v>
      </c>
      <c r="F62" s="17"/>
      <c r="G62" s="59">
        <f t="shared" si="3"/>
        <v>0</v>
      </c>
    </row>
    <row r="63" spans="1:7" s="8" customFormat="1" ht="38.25">
      <c r="A63" s="15" t="s">
        <v>1186</v>
      </c>
      <c r="B63" s="10" t="s">
        <v>125</v>
      </c>
      <c r="C63" s="11" t="s">
        <v>126</v>
      </c>
      <c r="D63" s="16" t="s">
        <v>31</v>
      </c>
      <c r="E63" s="17">
        <v>32.799999999999997</v>
      </c>
      <c r="F63" s="17"/>
      <c r="G63" s="59">
        <f t="shared" si="3"/>
        <v>0</v>
      </c>
    </row>
    <row r="64" spans="1:7" s="8" customFormat="1" ht="38.25">
      <c r="A64" s="15" t="s">
        <v>1187</v>
      </c>
      <c r="B64" s="10" t="s">
        <v>128</v>
      </c>
      <c r="C64" s="11" t="s">
        <v>129</v>
      </c>
      <c r="D64" s="16" t="s">
        <v>31</v>
      </c>
      <c r="E64" s="17">
        <v>32.799999999999997</v>
      </c>
      <c r="F64" s="17"/>
      <c r="G64" s="59">
        <f t="shared" si="3"/>
        <v>0</v>
      </c>
    </row>
    <row r="65" spans="1:7" s="8" customFormat="1" ht="38.25">
      <c r="A65" s="15" t="s">
        <v>1188</v>
      </c>
      <c r="B65" s="10" t="s">
        <v>131</v>
      </c>
      <c r="C65" s="11" t="s">
        <v>132</v>
      </c>
      <c r="D65" s="16" t="s">
        <v>52</v>
      </c>
      <c r="E65" s="17">
        <f>(5.47*2+3.9*2-0.9)+(3.4+0.14+3.36+1.22+4.52+2.7+4.56-0.9)</f>
        <v>36.840000000000003</v>
      </c>
      <c r="F65" s="17"/>
      <c r="G65" s="59">
        <f t="shared" si="3"/>
        <v>0</v>
      </c>
    </row>
    <row r="66" spans="1:7" s="8" customFormat="1">
      <c r="A66" s="32" t="s">
        <v>133</v>
      </c>
      <c r="B66" s="28" t="s">
        <v>134</v>
      </c>
      <c r="C66" s="29"/>
      <c r="D66" s="30"/>
      <c r="E66" s="30"/>
      <c r="F66" s="31"/>
      <c r="G66" s="62">
        <f>G67+G80+G103</f>
        <v>0</v>
      </c>
    </row>
    <row r="67" spans="1:7" s="8" customFormat="1">
      <c r="A67" s="18" t="s">
        <v>135</v>
      </c>
      <c r="B67" s="57" t="s">
        <v>80</v>
      </c>
      <c r="C67" s="19"/>
      <c r="D67" s="58"/>
      <c r="E67" s="58"/>
      <c r="F67" s="20"/>
      <c r="G67" s="64">
        <f>SUM(G68:G79)</f>
        <v>0</v>
      </c>
    </row>
    <row r="68" spans="1:7" s="8" customFormat="1" ht="25.5">
      <c r="A68" s="21" t="s">
        <v>136</v>
      </c>
      <c r="B68" s="22" t="s">
        <v>82</v>
      </c>
      <c r="C68" s="23" t="s">
        <v>83</v>
      </c>
      <c r="D68" s="24" t="s">
        <v>84</v>
      </c>
      <c r="E68" s="25">
        <v>18</v>
      </c>
      <c r="F68" s="25"/>
      <c r="G68" s="59">
        <f t="shared" ref="G68:G79" si="4">E68*F68</f>
        <v>0</v>
      </c>
    </row>
    <row r="69" spans="1:7" s="8" customFormat="1" ht="25.5">
      <c r="A69" s="21" t="s">
        <v>137</v>
      </c>
      <c r="B69" s="22" t="s">
        <v>138</v>
      </c>
      <c r="C69" s="23" t="s">
        <v>139</v>
      </c>
      <c r="D69" s="24" t="s">
        <v>31</v>
      </c>
      <c r="E69" s="25">
        <f>1.18*1.45+1.16*1.44+0.78*0.78+0.56*0.56*2</f>
        <v>4.617</v>
      </c>
      <c r="F69" s="25"/>
      <c r="G69" s="59">
        <f t="shared" si="4"/>
        <v>0</v>
      </c>
    </row>
    <row r="70" spans="1:7" s="8" customFormat="1" ht="25.5">
      <c r="A70" s="21" t="s">
        <v>140</v>
      </c>
      <c r="B70" s="22" t="s">
        <v>1190</v>
      </c>
      <c r="C70" s="23" t="s">
        <v>1191</v>
      </c>
      <c r="D70" s="24" t="s">
        <v>31</v>
      </c>
      <c r="E70" s="25">
        <f>54.6+27.6+20.8</f>
        <v>103</v>
      </c>
      <c r="F70" s="25"/>
      <c r="G70" s="59">
        <f t="shared" si="4"/>
        <v>0</v>
      </c>
    </row>
    <row r="71" spans="1:7" s="8" customFormat="1">
      <c r="A71" s="21" t="s">
        <v>141</v>
      </c>
      <c r="B71" s="22" t="s">
        <v>1192</v>
      </c>
      <c r="C71" s="23" t="s">
        <v>1193</v>
      </c>
      <c r="D71" s="24" t="s">
        <v>31</v>
      </c>
      <c r="E71" s="25">
        <f>14.2+19.2+2.8</f>
        <v>36.199999999999996</v>
      </c>
      <c r="F71" s="25"/>
      <c r="G71" s="59">
        <f t="shared" si="4"/>
        <v>0</v>
      </c>
    </row>
    <row r="72" spans="1:7" s="8" customFormat="1" ht="25.5">
      <c r="A72" s="21" t="s">
        <v>142</v>
      </c>
      <c r="B72" s="22" t="s">
        <v>89</v>
      </c>
      <c r="C72" s="23" t="s">
        <v>1189</v>
      </c>
      <c r="D72" s="24" t="s">
        <v>31</v>
      </c>
      <c r="E72" s="25">
        <f>3.8+6.9+1.6+8.2+5.3+18+4.3+3.4+2.3+7.9+12.7</f>
        <v>74.399999999999991</v>
      </c>
      <c r="F72" s="25"/>
      <c r="G72" s="59">
        <f t="shared" si="4"/>
        <v>0</v>
      </c>
    </row>
    <row r="73" spans="1:7" s="8" customFormat="1" ht="25.5">
      <c r="A73" s="21" t="s">
        <v>145</v>
      </c>
      <c r="B73" s="22" t="s">
        <v>98</v>
      </c>
      <c r="C73" s="23" t="s">
        <v>99</v>
      </c>
      <c r="D73" s="24" t="s">
        <v>52</v>
      </c>
      <c r="E73" s="25">
        <f>7*1.2+0.6+0.6+1.2*2</f>
        <v>12</v>
      </c>
      <c r="F73" s="25"/>
      <c r="G73" s="59">
        <f t="shared" si="4"/>
        <v>0</v>
      </c>
    </row>
    <row r="74" spans="1:7" s="8" customFormat="1" ht="25.5">
      <c r="A74" s="21" t="s">
        <v>146</v>
      </c>
      <c r="B74" s="10" t="s">
        <v>86</v>
      </c>
      <c r="C74" s="11" t="s">
        <v>87</v>
      </c>
      <c r="D74" s="16" t="s">
        <v>11</v>
      </c>
      <c r="E74" s="25">
        <f>0.42*(2.33*2.08-(0.63*2.08+0.56*0.56)+0.88*2.08*4+1.17*2.01+1.18*2.1-1*1.14)+0.27*(2.59*3.28-1*2.4)+0.46*(1*2.1-0.24*1.07)+0.12*(1.77*3.28-0.9*2.1+2*3.28-0.9*2.1+1.24*3.28-0.76*2.05+2.14*3.28-0.8*2.05+0.9*3.28-0.7*2.05)+0.06*(3.28*0.93-0.8*2.1)+0.34*3.28*2.49+0.14*(3.65*2.15-0.7*2.05*4+2.49*3.28-0.78*2.05+3.08*3.28-0.7*2.05)+0.1*(1.07*2.15*3+1.16*2.15*3+3.49*2.15-0.7*2.05*4+1.25*3.28+1.05*3.28-0.8*2.05)+0.16*5.59*3.28+0.41*(3.28*1.18+1*2.1)+0.27*3.28*0.64+0.32*1*2.1+0.38*(3.28*1.5-0.92*2.1)+0.46*2.1*0.49</f>
        <v>26.351915999999996</v>
      </c>
      <c r="F74" s="17"/>
      <c r="G74" s="59">
        <f t="shared" si="4"/>
        <v>0</v>
      </c>
    </row>
    <row r="75" spans="1:7" s="8" customFormat="1">
      <c r="A75" s="21" t="s">
        <v>147</v>
      </c>
      <c r="B75" s="10" t="s">
        <v>1174</v>
      </c>
      <c r="C75" s="11" t="s">
        <v>1194</v>
      </c>
      <c r="D75" s="16" t="s">
        <v>31</v>
      </c>
      <c r="E75" s="17">
        <f>2.15*(1.16+3.49+0.86+3.08+2.49+1.81+3.88+1.77+2.87)+0.6*0.45*2</f>
        <v>46.5715</v>
      </c>
      <c r="F75" s="17"/>
      <c r="G75" s="59">
        <f t="shared" si="4"/>
        <v>0</v>
      </c>
    </row>
    <row r="76" spans="1:7" s="8" customFormat="1" ht="38.25">
      <c r="A76" s="21" t="s">
        <v>148</v>
      </c>
      <c r="B76" s="10" t="s">
        <v>92</v>
      </c>
      <c r="C76" s="11" t="s">
        <v>93</v>
      </c>
      <c r="D76" s="16" t="s">
        <v>31</v>
      </c>
      <c r="E76" s="17">
        <f>0.3*(1.13*(1.16+3.49+0.86+3.08+2.49+1.81+3.88+1.77+2.87)-(0.88*(0.95*4+0.9*2))+3.28*(1.77+2.74)-(1.64*3.08+1.7*1.21)+3.28*(2.96*2+2.72)+3.64*3.16*2+2.48*(1.58*2+2.72)-(1.75*2.04+1.87*3.08*2+1.7*1.21)+2.48*(2.72+1.13+2.76+0.62)-1.75*2.04*2+0.7*2.05*2+3.28*(2.15*4+10.51*2)-(1.87*3.08+1.7*1.21*3+1.5*3.1+1*2.05*3+0.7*2.05*2)+3.28*(10.45*2+5.23*2+0.25*2)-(1.1*2.05+1.5*3.1*2+1*2.05*3+0.78*1.5+1.17*2.01*6)+3.3*(0.37+2.14+5.23+3.86+5.59)-(1.5*3.1+0.78*1.5+1.17*2.01*2+1.16*1.44+1*2.05)+3.26*(1.6*2+2.1*2)-0.9*2+3.28*(0.48+2.1+2.18+2.11)-(0.9*2.05+1.18*2.1))</f>
        <v>94.643069999999994</v>
      </c>
      <c r="F76" s="17"/>
      <c r="G76" s="59">
        <f t="shared" si="4"/>
        <v>0</v>
      </c>
    </row>
    <row r="77" spans="1:7" s="8" customFormat="1">
      <c r="A77" s="21" t="s">
        <v>149</v>
      </c>
      <c r="B77" s="10" t="s">
        <v>92</v>
      </c>
      <c r="C77" s="11" t="s">
        <v>1195</v>
      </c>
      <c r="D77" s="16" t="s">
        <v>31</v>
      </c>
      <c r="E77" s="17">
        <f>3.28*(0.27+5.27+0.3)-(1.16*1.44+1*2.05)</f>
        <v>15.434799999999997</v>
      </c>
      <c r="F77" s="17"/>
      <c r="G77" s="59">
        <f t="shared" si="4"/>
        <v>0</v>
      </c>
    </row>
    <row r="78" spans="1:7" s="8" customFormat="1" ht="38.25">
      <c r="A78" s="21" t="s">
        <v>150</v>
      </c>
      <c r="B78" s="10" t="s">
        <v>95</v>
      </c>
      <c r="C78" s="11" t="s">
        <v>96</v>
      </c>
      <c r="D78" s="16" t="s">
        <v>31</v>
      </c>
      <c r="E78" s="17">
        <f>186.6*0.3</f>
        <v>55.98</v>
      </c>
      <c r="F78" s="17"/>
      <c r="G78" s="59">
        <f t="shared" si="4"/>
        <v>0</v>
      </c>
    </row>
    <row r="79" spans="1:7" s="8" customFormat="1">
      <c r="A79" s="21" t="s">
        <v>151</v>
      </c>
      <c r="B79" s="10" t="s">
        <v>59</v>
      </c>
      <c r="C79" s="11" t="s">
        <v>1467</v>
      </c>
      <c r="D79" s="16" t="s">
        <v>11</v>
      </c>
      <c r="E79" s="17">
        <f>(18*0.08*2+4.62*0.08+(103+36.2+74.4)*0.02+12*0.4*0.04+26.35)+(94.64*0.02+15.43*0.02+55.86*0.02)</f>
        <v>37.382199999999997</v>
      </c>
      <c r="F79" s="17"/>
      <c r="G79" s="59">
        <f t="shared" si="4"/>
        <v>0</v>
      </c>
    </row>
    <row r="80" spans="1:7" s="8" customFormat="1">
      <c r="A80" s="18" t="s">
        <v>152</v>
      </c>
      <c r="B80" s="102" t="s">
        <v>105</v>
      </c>
      <c r="C80" s="103"/>
      <c r="D80" s="46"/>
      <c r="E80" s="46"/>
      <c r="F80" s="20"/>
      <c r="G80" s="64">
        <f>SUM(G81:G102)</f>
        <v>0</v>
      </c>
    </row>
    <row r="81" spans="1:7" s="8" customFormat="1" ht="25.5">
      <c r="A81" s="15" t="s">
        <v>153</v>
      </c>
      <c r="B81" s="10" t="s">
        <v>154</v>
      </c>
      <c r="C81" s="11" t="s">
        <v>155</v>
      </c>
      <c r="D81" s="16" t="s">
        <v>11</v>
      </c>
      <c r="E81" s="17">
        <f>1*2.45*0.27+0.27*0.46*2.1+0.46*(1.16+1.44-0.42*0.24)+0.78*1.5*0.38+1.1*2.1*0.32+0.27*(3.08*(1.87+1.64)-1.2*2.05*2)+0.42*0.56*0.56</f>
        <v>4.9779800000000005</v>
      </c>
      <c r="F81" s="17"/>
      <c r="G81" s="59">
        <f t="shared" ref="G81:G102" si="5">E81*F81</f>
        <v>0</v>
      </c>
    </row>
    <row r="82" spans="1:7" s="8" customFormat="1" ht="25.5">
      <c r="A82" s="15" t="s">
        <v>156</v>
      </c>
      <c r="B82" s="10" t="s">
        <v>157</v>
      </c>
      <c r="C82" s="11" t="s">
        <v>158</v>
      </c>
      <c r="D82" s="16" t="s">
        <v>31</v>
      </c>
      <c r="E82" s="17">
        <f>3.28*(2.49+5.73+5.23+11.34+3.61)-1*2.05*5</f>
        <v>82.901999999999987</v>
      </c>
      <c r="F82" s="17"/>
      <c r="G82" s="59">
        <f t="shared" si="5"/>
        <v>0</v>
      </c>
    </row>
    <row r="83" spans="1:7" s="8" customFormat="1" ht="25.5">
      <c r="A83" s="15" t="s">
        <v>159</v>
      </c>
      <c r="B83" s="10" t="s">
        <v>157</v>
      </c>
      <c r="C83" s="11" t="s">
        <v>1199</v>
      </c>
      <c r="D83" s="16" t="s">
        <v>31</v>
      </c>
      <c r="E83" s="17">
        <f>3.28*2.15</f>
        <v>7.0519999999999996</v>
      </c>
      <c r="F83" s="17"/>
      <c r="G83" s="59">
        <f t="shared" si="5"/>
        <v>0</v>
      </c>
    </row>
    <row r="84" spans="1:7" s="8" customFormat="1" ht="38.25">
      <c r="A84" s="15" t="s">
        <v>160</v>
      </c>
      <c r="B84" s="10" t="s">
        <v>1201</v>
      </c>
      <c r="C84" s="11" t="s">
        <v>1200</v>
      </c>
      <c r="D84" s="16" t="s">
        <v>31</v>
      </c>
      <c r="E84" s="17">
        <f>(0.13*2+0.25)*3.04*2+(0.5*2+0.3*2)*3.04+(0.29*2+0.52)*7.7+0.29*2+0.65*5.73+(0.25*3+0.46)*1.18+(0.25*2+0.46)*1+(0.25*2+0.38)*1.62+(0.25*2+0.32)*(1*2+1.5)+(0.25*2+0.28)*1.64+0.25*2.27</f>
        <v>29.269400000000001</v>
      </c>
      <c r="F84" s="17"/>
      <c r="G84" s="59">
        <f t="shared" si="5"/>
        <v>0</v>
      </c>
    </row>
    <row r="85" spans="1:7" s="8" customFormat="1" ht="25.5">
      <c r="A85" s="15" t="s">
        <v>163</v>
      </c>
      <c r="B85" s="10" t="s">
        <v>161</v>
      </c>
      <c r="C85" s="11" t="s">
        <v>162</v>
      </c>
      <c r="D85" s="16" t="s">
        <v>31</v>
      </c>
      <c r="E85" s="17">
        <f>(2.62+2.2+2.44)-1.22*1.75*2</f>
        <v>2.99</v>
      </c>
      <c r="F85" s="17"/>
      <c r="G85" s="59">
        <f t="shared" si="5"/>
        <v>0</v>
      </c>
    </row>
    <row r="86" spans="1:7" s="8" customFormat="1" ht="25.5">
      <c r="A86" s="15" t="s">
        <v>166</v>
      </c>
      <c r="B86" s="10" t="s">
        <v>164</v>
      </c>
      <c r="C86" s="11" t="s">
        <v>165</v>
      </c>
      <c r="D86" s="16" t="s">
        <v>31</v>
      </c>
      <c r="E86" s="17">
        <f>46.57+94.64+15.43+1.7*1.19*6+0.27*2.05+0.92*1.44*2+0.78*1.5*2+1.1*2.05*2+0.48*2.1*2+(1.87*3.08-1.2*2.05)*2+(1.64*3.08-1.2*2.05)*2+0.56*0.56+3.28*(2.62+2.2+2.44)-1.22*1.75*2+1*2.4</f>
        <v>214.88510000000002</v>
      </c>
      <c r="F86" s="17"/>
      <c r="G86" s="59">
        <f t="shared" si="5"/>
        <v>0</v>
      </c>
    </row>
    <row r="87" spans="1:7" s="8" customFormat="1" ht="25.5">
      <c r="A87" s="15" t="s">
        <v>167</v>
      </c>
      <c r="B87" s="10" t="s">
        <v>63</v>
      </c>
      <c r="C87" s="11" t="s">
        <v>64</v>
      </c>
      <c r="D87" s="16" t="s">
        <v>31</v>
      </c>
      <c r="E87" s="17">
        <v>55.98</v>
      </c>
      <c r="F87" s="17"/>
      <c r="G87" s="59">
        <f t="shared" si="5"/>
        <v>0</v>
      </c>
    </row>
    <row r="88" spans="1:7" s="8" customFormat="1" ht="25.5">
      <c r="A88" s="15" t="s">
        <v>169</v>
      </c>
      <c r="B88" s="10" t="s">
        <v>117</v>
      </c>
      <c r="C88" s="11" t="s">
        <v>168</v>
      </c>
      <c r="D88" s="16" t="s">
        <v>52</v>
      </c>
      <c r="E88" s="17">
        <f>1.27*2+1.23*8+0.93*6</f>
        <v>17.96</v>
      </c>
      <c r="F88" s="17"/>
      <c r="G88" s="59">
        <f t="shared" si="5"/>
        <v>0</v>
      </c>
    </row>
    <row r="89" spans="1:7" s="8" customFormat="1" ht="25.5">
      <c r="A89" s="15" t="s">
        <v>172</v>
      </c>
      <c r="B89" s="10" t="s">
        <v>1183</v>
      </c>
      <c r="C89" s="11" t="s">
        <v>1184</v>
      </c>
      <c r="D89" s="16" t="s">
        <v>84</v>
      </c>
      <c r="E89" s="17">
        <v>5</v>
      </c>
      <c r="F89" s="17"/>
      <c r="G89" s="59">
        <f t="shared" si="5"/>
        <v>0</v>
      </c>
    </row>
    <row r="90" spans="1:7" s="8" customFormat="1" ht="25.5">
      <c r="A90" s="15" t="s">
        <v>173</v>
      </c>
      <c r="B90" s="10" t="s">
        <v>170</v>
      </c>
      <c r="C90" s="11" t="s">
        <v>171</v>
      </c>
      <c r="D90" s="16" t="s">
        <v>31</v>
      </c>
      <c r="E90" s="17">
        <f>0.7*(1.13*(1.16+3.49+0.86+3.08+2.49+1.81+3.88+1.77+2.87)-(0.88*(0.95*4+0.9*2))+3.28*(1.77+2.74)-(1.64*3.08+1.7*1.21)+3.28*(2.96*2+2.72)+3.64*3.16*2+2.48*(1.58*2+2.72)-(1.75*2.04+1.87*3.08*2+1.7*1.21)+2.48*(2.72+1.13+2.76+0.62)-1.75*2.04*2+0.7*2.05*2+3.28*(2.15*4+10.51*2)-(1.87*3.08+1.7*1.21*3+1.5*3.1+1*2.05*3+0.7*2.05*2)+3.28*(10.45*2+5.23*2+0.25*2)-(1.1*2.05+1.5*3.1*2+1*2.05*3+0.78*1.5+1.17*2.01*6)+3.3*(0.37+2.14+5.23+3.86+5.59)-(1.5*3.1+0.78*1.5+1.17*2.01*2+1.16*1.44+1*2.05)+3.26*(1.6*2+2.1*2)-0.9*2+3.28*(0.48+2.1+2.18+2.11)-(0.9*2.05+1.18*2.1))</f>
        <v>220.83382999999998</v>
      </c>
      <c r="F90" s="17"/>
      <c r="G90" s="59">
        <f t="shared" si="5"/>
        <v>0</v>
      </c>
    </row>
    <row r="91" spans="1:7" s="8" customFormat="1">
      <c r="A91" s="15" t="s">
        <v>174</v>
      </c>
      <c r="B91" s="10" t="s">
        <v>1198</v>
      </c>
      <c r="C91" s="11" t="s">
        <v>1197</v>
      </c>
      <c r="D91" s="16" t="s">
        <v>31</v>
      </c>
      <c r="E91" s="17">
        <f>3.28*(5.73+4.01+1.6+2.49*2+5.23+1.5+3.36*2+3.68+3.61+7.26+11.34)-1*2.1*5*2+1.18*2.15*2+(0.13*2+0.25)*3.04*2+(0.5*2+0.3*2)*3.04+(0.29*2+0.52)*7.7+0.29*2+0.65*5.73+(0.25*3+0.46)*1.18+(0.25*2+0.46)*1+(0.25*2+0.38)*1.62+(0.25*2+0.32)*(1*2+1.5)+(0.25*2+0.28)*1.64+0.25*2.27</f>
        <v>195.90820000000002</v>
      </c>
      <c r="F91" s="17"/>
      <c r="G91" s="59">
        <f t="shared" si="5"/>
        <v>0</v>
      </c>
    </row>
    <row r="92" spans="1:7" s="8" customFormat="1" ht="38.25">
      <c r="A92" s="15" t="s">
        <v>177</v>
      </c>
      <c r="B92" s="10" t="s">
        <v>1455</v>
      </c>
      <c r="C92" s="11" t="s">
        <v>1457</v>
      </c>
      <c r="D92" s="16" t="s">
        <v>31</v>
      </c>
      <c r="E92" s="17">
        <f>214.89+220.83-40.45</f>
        <v>395.27000000000004</v>
      </c>
      <c r="F92" s="17"/>
      <c r="G92" s="59">
        <f t="shared" si="5"/>
        <v>0</v>
      </c>
    </row>
    <row r="93" spans="1:7" s="8" customFormat="1" ht="25.5">
      <c r="A93" s="15" t="s">
        <v>179</v>
      </c>
      <c r="B93" s="10" t="s">
        <v>175</v>
      </c>
      <c r="C93" s="11" t="s">
        <v>1460</v>
      </c>
      <c r="D93" s="16" t="s">
        <v>31</v>
      </c>
      <c r="E93" s="17">
        <f>186.6*0.7</f>
        <v>130.61999999999998</v>
      </c>
      <c r="F93" s="17"/>
      <c r="G93" s="59">
        <f t="shared" si="5"/>
        <v>0</v>
      </c>
    </row>
    <row r="94" spans="1:7" s="8" customFormat="1" ht="38.25">
      <c r="A94" s="15" t="s">
        <v>180</v>
      </c>
      <c r="B94" s="10" t="s">
        <v>1456</v>
      </c>
      <c r="C94" s="11" t="s">
        <v>1459</v>
      </c>
      <c r="D94" s="16" t="s">
        <v>31</v>
      </c>
      <c r="E94" s="17">
        <f>130.62+55.98</f>
        <v>186.6</v>
      </c>
      <c r="F94" s="17"/>
      <c r="G94" s="59">
        <f t="shared" si="5"/>
        <v>0</v>
      </c>
    </row>
    <row r="95" spans="1:7" s="8" customFormat="1" ht="25.5">
      <c r="A95" s="15" t="s">
        <v>183</v>
      </c>
      <c r="B95" s="10" t="s">
        <v>181</v>
      </c>
      <c r="C95" s="11" t="s">
        <v>1196</v>
      </c>
      <c r="D95" s="16" t="s">
        <v>31</v>
      </c>
      <c r="E95" s="17">
        <f>2.1*(2.32*2+2.15*2+2.94*2+2.15*2)-1*2.1*2+1.5*1.5*2</f>
        <v>40.451999999999998</v>
      </c>
      <c r="F95" s="17"/>
      <c r="G95" s="59">
        <f t="shared" si="5"/>
        <v>0</v>
      </c>
    </row>
    <row r="96" spans="1:7" s="8" customFormat="1" ht="38.25">
      <c r="A96" s="15" t="s">
        <v>186</v>
      </c>
      <c r="B96" s="10" t="s">
        <v>184</v>
      </c>
      <c r="C96" s="11" t="s">
        <v>185</v>
      </c>
      <c r="D96" s="16" t="s">
        <v>31</v>
      </c>
      <c r="E96" s="17">
        <v>40.450000000000003</v>
      </c>
      <c r="F96" s="17"/>
      <c r="G96" s="59">
        <f t="shared" si="5"/>
        <v>0</v>
      </c>
    </row>
    <row r="97" spans="1:7" s="8" customFormat="1" ht="25.5">
      <c r="A97" s="15" t="s">
        <v>189</v>
      </c>
      <c r="B97" s="10" t="s">
        <v>187</v>
      </c>
      <c r="C97" s="11" t="s">
        <v>188</v>
      </c>
      <c r="D97" s="16" t="s">
        <v>31</v>
      </c>
      <c r="E97" s="17">
        <f>395.27+195.91</f>
        <v>591.17999999999995</v>
      </c>
      <c r="F97" s="17"/>
      <c r="G97" s="59">
        <f t="shared" si="5"/>
        <v>0</v>
      </c>
    </row>
    <row r="98" spans="1:7" s="8" customFormat="1" ht="25.5">
      <c r="A98" s="15" t="s">
        <v>191</v>
      </c>
      <c r="B98" s="10" t="s">
        <v>187</v>
      </c>
      <c r="C98" s="11" t="s">
        <v>190</v>
      </c>
      <c r="D98" s="16" t="s">
        <v>31</v>
      </c>
      <c r="E98" s="17">
        <v>186.6</v>
      </c>
      <c r="F98" s="17"/>
      <c r="G98" s="59">
        <f t="shared" si="5"/>
        <v>0</v>
      </c>
    </row>
    <row r="99" spans="1:7" s="8" customFormat="1">
      <c r="A99" s="15" t="s">
        <v>193</v>
      </c>
      <c r="B99" s="10" t="s">
        <v>187</v>
      </c>
      <c r="C99" s="11" t="s">
        <v>192</v>
      </c>
      <c r="D99" s="16" t="s">
        <v>31</v>
      </c>
      <c r="E99" s="17">
        <f>44.85+20.85</f>
        <v>65.7</v>
      </c>
      <c r="F99" s="17"/>
      <c r="G99" s="59">
        <f t="shared" si="5"/>
        <v>0</v>
      </c>
    </row>
    <row r="100" spans="1:7" s="8" customFormat="1">
      <c r="A100" s="15" t="s">
        <v>195</v>
      </c>
      <c r="B100" s="10" t="s">
        <v>194</v>
      </c>
      <c r="C100" s="11" t="s">
        <v>1334</v>
      </c>
      <c r="D100" s="16" t="s">
        <v>52</v>
      </c>
      <c r="E100" s="17">
        <v>10</v>
      </c>
      <c r="F100" s="17"/>
      <c r="G100" s="59">
        <f t="shared" si="5"/>
        <v>0</v>
      </c>
    </row>
    <row r="101" spans="1:7" s="8" customFormat="1">
      <c r="A101" s="15" t="s">
        <v>198</v>
      </c>
      <c r="B101" s="10" t="s">
        <v>59</v>
      </c>
      <c r="C101" s="11" t="s">
        <v>196</v>
      </c>
      <c r="D101" s="16" t="s">
        <v>197</v>
      </c>
      <c r="E101" s="17">
        <v>1</v>
      </c>
      <c r="F101" s="17"/>
      <c r="G101" s="59">
        <f t="shared" si="5"/>
        <v>0</v>
      </c>
    </row>
    <row r="102" spans="1:7" s="8" customFormat="1">
      <c r="A102" s="15" t="s">
        <v>755</v>
      </c>
      <c r="B102" s="10" t="s">
        <v>59</v>
      </c>
      <c r="C102" s="11" t="s">
        <v>199</v>
      </c>
      <c r="D102" s="16" t="s">
        <v>31</v>
      </c>
      <c r="E102" s="17">
        <f>(1.08*1.07+1.2)*2.05</f>
        <v>4.8289799999999996</v>
      </c>
      <c r="F102" s="17"/>
      <c r="G102" s="59">
        <f t="shared" si="5"/>
        <v>0</v>
      </c>
    </row>
    <row r="103" spans="1:7" s="8" customFormat="1">
      <c r="A103" s="18" t="s">
        <v>200</v>
      </c>
      <c r="B103" s="102" t="s">
        <v>120</v>
      </c>
      <c r="C103" s="103"/>
      <c r="D103" s="46"/>
      <c r="E103" s="46"/>
      <c r="F103" s="20"/>
      <c r="G103" s="64">
        <f>SUM(G104:G120)</f>
        <v>0</v>
      </c>
    </row>
    <row r="104" spans="1:7" s="8" customFormat="1" ht="38.25">
      <c r="A104" s="15" t="s">
        <v>201</v>
      </c>
      <c r="B104" s="10" t="s">
        <v>953</v>
      </c>
      <c r="C104" s="11" t="s">
        <v>1441</v>
      </c>
      <c r="D104" s="16" t="s">
        <v>31</v>
      </c>
      <c r="E104" s="17">
        <f>13.9*1.1</f>
        <v>15.290000000000001</v>
      </c>
      <c r="F104" s="17"/>
      <c r="G104" s="59">
        <f t="shared" ref="G104:G120" si="6">E104*F104</f>
        <v>0</v>
      </c>
    </row>
    <row r="105" spans="1:7" s="8" customFormat="1">
      <c r="A105" s="15" t="s">
        <v>202</v>
      </c>
      <c r="B105" s="10" t="s">
        <v>203</v>
      </c>
      <c r="C105" s="11" t="s">
        <v>204</v>
      </c>
      <c r="D105" s="16" t="s">
        <v>31</v>
      </c>
      <c r="E105" s="17">
        <v>13.9</v>
      </c>
      <c r="F105" s="17"/>
      <c r="G105" s="59">
        <f t="shared" si="6"/>
        <v>0</v>
      </c>
    </row>
    <row r="106" spans="1:7" s="8" customFormat="1">
      <c r="A106" s="15" t="s">
        <v>205</v>
      </c>
      <c r="B106" s="10" t="s">
        <v>953</v>
      </c>
      <c r="C106" s="11" t="s">
        <v>1442</v>
      </c>
      <c r="D106" s="16" t="s">
        <v>31</v>
      </c>
      <c r="E106" s="17">
        <v>13.9</v>
      </c>
      <c r="F106" s="17"/>
      <c r="G106" s="59">
        <f t="shared" si="6"/>
        <v>0</v>
      </c>
    </row>
    <row r="107" spans="1:7" s="8" customFormat="1">
      <c r="A107" s="15" t="s">
        <v>206</v>
      </c>
      <c r="B107" s="10" t="s">
        <v>208</v>
      </c>
      <c r="C107" s="11" t="s">
        <v>209</v>
      </c>
      <c r="D107" s="16" t="s">
        <v>31</v>
      </c>
      <c r="E107" s="17">
        <v>13.9</v>
      </c>
      <c r="F107" s="17"/>
      <c r="G107" s="59">
        <f t="shared" si="6"/>
        <v>0</v>
      </c>
    </row>
    <row r="108" spans="1:7" s="8" customFormat="1" ht="38.25">
      <c r="A108" s="15" t="s">
        <v>207</v>
      </c>
      <c r="B108" s="10" t="s">
        <v>122</v>
      </c>
      <c r="C108" s="11" t="s">
        <v>123</v>
      </c>
      <c r="D108" s="16" t="s">
        <v>31</v>
      </c>
      <c r="E108" s="17">
        <v>186.7</v>
      </c>
      <c r="F108" s="17"/>
      <c r="G108" s="59">
        <f t="shared" si="6"/>
        <v>0</v>
      </c>
    </row>
    <row r="109" spans="1:7" s="8" customFormat="1" ht="25.5">
      <c r="A109" s="15" t="s">
        <v>210</v>
      </c>
      <c r="B109" s="10" t="s">
        <v>125</v>
      </c>
      <c r="C109" s="11" t="s">
        <v>1202</v>
      </c>
      <c r="D109" s="16" t="s">
        <v>31</v>
      </c>
      <c r="E109" s="17">
        <f>2.4+(6.91+8.22+4.3)+33.6+13.9+3.4+4.8+6.3+4+1.2*1.33+1.33*3.05+1.37*3+(1.33*5+1.33*11+1.37*11)*0.17</f>
        <v>103.77200000000001</v>
      </c>
      <c r="F109" s="17"/>
      <c r="G109" s="59">
        <f t="shared" si="6"/>
        <v>0</v>
      </c>
    </row>
    <row r="110" spans="1:7" s="8" customFormat="1" ht="38.25">
      <c r="A110" s="15" t="s">
        <v>211</v>
      </c>
      <c r="B110" s="10" t="s">
        <v>128</v>
      </c>
      <c r="C110" s="11" t="s">
        <v>129</v>
      </c>
      <c r="D110" s="16" t="s">
        <v>31</v>
      </c>
      <c r="E110" s="17">
        <v>87.83</v>
      </c>
      <c r="F110" s="17"/>
      <c r="G110" s="59">
        <f t="shared" si="6"/>
        <v>0</v>
      </c>
    </row>
    <row r="111" spans="1:7" s="8" customFormat="1" ht="38.25">
      <c r="A111" s="15" t="s">
        <v>212</v>
      </c>
      <c r="B111" s="10" t="s">
        <v>128</v>
      </c>
      <c r="C111" s="11" t="s">
        <v>1203</v>
      </c>
      <c r="D111" s="16" t="s">
        <v>31</v>
      </c>
      <c r="E111" s="17">
        <f>1.2*1.33+1.33*3.05+1.37*3+0.17*(1.33*5+1.33*11+1.37*11)</f>
        <v>15.942</v>
      </c>
      <c r="F111" s="17"/>
      <c r="G111" s="59">
        <f t="shared" si="6"/>
        <v>0</v>
      </c>
    </row>
    <row r="112" spans="1:7" s="8" customFormat="1" ht="38.25">
      <c r="A112" s="15" t="s">
        <v>213</v>
      </c>
      <c r="B112" s="10" t="s">
        <v>131</v>
      </c>
      <c r="C112" s="11" t="s">
        <v>132</v>
      </c>
      <c r="D112" s="16" t="s">
        <v>52</v>
      </c>
      <c r="E112" s="17">
        <f>(2.72+1.13+2.77+0.62-2.37*2)+(1.58+2.72+3.51+2.96+2.72+3.08-(2.37+1.2*2))+(2.47+3.35+0.09+0.28+0.41+0.28+1.5+11.34+3.97+2.18+2.1+0.48+0.37+7.84+2.47+5.13-(1.2+1.1+1.18+1*5+0.9))+(2.63*2+5.27*2-1)+(1.6*2+2.1*2-0.9)+(1.6*2+2.49*2-(1*2+1.2))</f>
        <v>75.459999999999994</v>
      </c>
      <c r="F112" s="17"/>
      <c r="G112" s="59">
        <f t="shared" si="6"/>
        <v>0</v>
      </c>
    </row>
    <row r="113" spans="1:7" s="8" customFormat="1" ht="25.5">
      <c r="A113" s="15" t="s">
        <v>214</v>
      </c>
      <c r="B113" s="10" t="s">
        <v>1204</v>
      </c>
      <c r="C113" s="11" t="s">
        <v>1205</v>
      </c>
      <c r="D113" s="16" t="s">
        <v>52</v>
      </c>
      <c r="E113" s="17">
        <f>1.2+3.05+3</f>
        <v>7.25</v>
      </c>
      <c r="F113" s="17"/>
      <c r="G113" s="59">
        <f t="shared" si="6"/>
        <v>0</v>
      </c>
    </row>
    <row r="114" spans="1:7" s="8" customFormat="1">
      <c r="A114" s="15" t="s">
        <v>216</v>
      </c>
      <c r="B114" s="10" t="s">
        <v>178</v>
      </c>
      <c r="C114" s="11" t="s">
        <v>215</v>
      </c>
      <c r="D114" s="16" t="s">
        <v>31</v>
      </c>
      <c r="E114" s="17">
        <v>85.3</v>
      </c>
      <c r="F114" s="17"/>
      <c r="G114" s="59">
        <f t="shared" si="6"/>
        <v>0</v>
      </c>
    </row>
    <row r="115" spans="1:7" s="8" customFormat="1" ht="25.5">
      <c r="A115" s="15" t="s">
        <v>219</v>
      </c>
      <c r="B115" s="10" t="s">
        <v>217</v>
      </c>
      <c r="C115" s="11" t="s">
        <v>218</v>
      </c>
      <c r="D115" s="16" t="s">
        <v>31</v>
      </c>
      <c r="E115" s="17">
        <v>85.3</v>
      </c>
      <c r="F115" s="17"/>
      <c r="G115" s="59">
        <f t="shared" si="6"/>
        <v>0</v>
      </c>
    </row>
    <row r="116" spans="1:7" s="8" customFormat="1" ht="25.5">
      <c r="A116" s="15" t="s">
        <v>222</v>
      </c>
      <c r="B116" s="10" t="s">
        <v>220</v>
      </c>
      <c r="C116" s="11" t="s">
        <v>221</v>
      </c>
      <c r="D116" s="16" t="s">
        <v>31</v>
      </c>
      <c r="E116" s="17">
        <v>85.3</v>
      </c>
      <c r="F116" s="17"/>
      <c r="G116" s="59">
        <f t="shared" si="6"/>
        <v>0</v>
      </c>
    </row>
    <row r="117" spans="1:7" s="8" customFormat="1" ht="25.5">
      <c r="A117" s="15" t="s">
        <v>225</v>
      </c>
      <c r="B117" s="10" t="s">
        <v>223</v>
      </c>
      <c r="C117" s="11" t="s">
        <v>224</v>
      </c>
      <c r="D117" s="16" t="s">
        <v>52</v>
      </c>
      <c r="E117" s="17">
        <f>(3.23*2+5.23*2-1.1)+(3.96*2+3.61*2+0.25*2-1)+(3.02*2+3.61*2-1)+(3.87*2+3.61*2-1)+(5.73*2+5.09*2-1)</f>
        <v>77.319999999999993</v>
      </c>
      <c r="F117" s="17"/>
      <c r="G117" s="59">
        <f t="shared" si="6"/>
        <v>0</v>
      </c>
    </row>
    <row r="118" spans="1:7" s="8" customFormat="1">
      <c r="A118" s="15" t="s">
        <v>226</v>
      </c>
      <c r="B118" s="10" t="s">
        <v>178</v>
      </c>
      <c r="C118" s="11" t="s">
        <v>215</v>
      </c>
      <c r="D118" s="16" t="s">
        <v>31</v>
      </c>
      <c r="E118" s="17">
        <v>10</v>
      </c>
      <c r="F118" s="17"/>
      <c r="G118" s="59">
        <f t="shared" si="6"/>
        <v>0</v>
      </c>
    </row>
    <row r="119" spans="1:7" s="8" customFormat="1" ht="25.5">
      <c r="A119" s="15" t="s">
        <v>229</v>
      </c>
      <c r="B119" s="10" t="s">
        <v>227</v>
      </c>
      <c r="C119" s="11" t="s">
        <v>228</v>
      </c>
      <c r="D119" s="16" t="s">
        <v>31</v>
      </c>
      <c r="E119" s="17">
        <v>10</v>
      </c>
      <c r="F119" s="17"/>
      <c r="G119" s="59">
        <f t="shared" si="6"/>
        <v>0</v>
      </c>
    </row>
    <row r="120" spans="1:7" s="8" customFormat="1" ht="25.5">
      <c r="A120" s="15" t="s">
        <v>827</v>
      </c>
      <c r="B120" s="10" t="s">
        <v>230</v>
      </c>
      <c r="C120" s="11" t="s">
        <v>231</v>
      </c>
      <c r="D120" s="16" t="s">
        <v>52</v>
      </c>
      <c r="E120" s="17">
        <f>4.01*2+2.49*2-1</f>
        <v>12</v>
      </c>
      <c r="F120" s="17"/>
      <c r="G120" s="59">
        <f t="shared" si="6"/>
        <v>0</v>
      </c>
    </row>
    <row r="121" spans="1:7" s="8" customFormat="1">
      <c r="A121" s="32" t="s">
        <v>232</v>
      </c>
      <c r="B121" s="28" t="s">
        <v>233</v>
      </c>
      <c r="C121" s="29"/>
      <c r="D121" s="30"/>
      <c r="E121" s="30"/>
      <c r="F121" s="31"/>
      <c r="G121" s="62">
        <f>G122+G134+G155</f>
        <v>0</v>
      </c>
    </row>
    <row r="122" spans="1:7" s="8" customFormat="1">
      <c r="A122" s="18" t="s">
        <v>234</v>
      </c>
      <c r="B122" s="45" t="s">
        <v>80</v>
      </c>
      <c r="C122" s="19"/>
      <c r="D122" s="46"/>
      <c r="E122" s="46"/>
      <c r="F122" s="20"/>
      <c r="G122" s="64">
        <f>SUM(G123:G133)</f>
        <v>0</v>
      </c>
    </row>
    <row r="123" spans="1:7" s="8" customFormat="1" ht="25.5">
      <c r="A123" s="21" t="s">
        <v>235</v>
      </c>
      <c r="B123" s="22" t="s">
        <v>82</v>
      </c>
      <c r="C123" s="23" t="s">
        <v>83</v>
      </c>
      <c r="D123" s="24" t="s">
        <v>84</v>
      </c>
      <c r="E123" s="25">
        <v>10</v>
      </c>
      <c r="F123" s="25"/>
      <c r="G123" s="59">
        <f t="shared" ref="G123:G133" si="7">E123*F123</f>
        <v>0</v>
      </c>
    </row>
    <row r="124" spans="1:7" s="8" customFormat="1" ht="25.5">
      <c r="A124" s="21" t="s">
        <v>236</v>
      </c>
      <c r="B124" s="22" t="s">
        <v>138</v>
      </c>
      <c r="C124" s="23" t="s">
        <v>139</v>
      </c>
      <c r="D124" s="24" t="s">
        <v>31</v>
      </c>
      <c r="E124" s="25">
        <f>0.56*0.56*2+1.22*1.75*1</f>
        <v>2.7622</v>
      </c>
      <c r="F124" s="25"/>
      <c r="G124" s="59">
        <f t="shared" si="7"/>
        <v>0</v>
      </c>
    </row>
    <row r="125" spans="1:7" s="8" customFormat="1" ht="25.5">
      <c r="A125" s="21" t="s">
        <v>1219</v>
      </c>
      <c r="B125" s="22" t="s">
        <v>1190</v>
      </c>
      <c r="C125" s="23" t="s">
        <v>1191</v>
      </c>
      <c r="D125" s="24" t="s">
        <v>31</v>
      </c>
      <c r="E125" s="25">
        <f>55.3+20.6*2+31.2+8.9+10.7+11+14.3</f>
        <v>172.6</v>
      </c>
      <c r="F125" s="25"/>
      <c r="G125" s="59">
        <f t="shared" si="7"/>
        <v>0</v>
      </c>
    </row>
    <row r="126" spans="1:7" s="8" customFormat="1">
      <c r="A126" s="21" t="s">
        <v>237</v>
      </c>
      <c r="B126" s="22" t="s">
        <v>1192</v>
      </c>
      <c r="C126" s="23" t="s">
        <v>1193</v>
      </c>
      <c r="D126" s="24" t="s">
        <v>31</v>
      </c>
      <c r="E126" s="25">
        <v>21.4</v>
      </c>
      <c r="F126" s="25"/>
      <c r="G126" s="59">
        <f t="shared" si="7"/>
        <v>0</v>
      </c>
    </row>
    <row r="127" spans="1:7" s="8" customFormat="1" ht="25.5">
      <c r="A127" s="21" t="s">
        <v>238</v>
      </c>
      <c r="B127" s="22" t="s">
        <v>89</v>
      </c>
      <c r="C127" s="23" t="s">
        <v>1189</v>
      </c>
      <c r="D127" s="24" t="s">
        <v>31</v>
      </c>
      <c r="E127" s="25">
        <f>20.1+2+2+2.1</f>
        <v>26.200000000000003</v>
      </c>
      <c r="F127" s="25"/>
      <c r="G127" s="59">
        <f t="shared" si="7"/>
        <v>0</v>
      </c>
    </row>
    <row r="128" spans="1:7" s="8" customFormat="1" ht="25.5">
      <c r="A128" s="21" t="s">
        <v>239</v>
      </c>
      <c r="B128" s="22" t="s">
        <v>98</v>
      </c>
      <c r="C128" s="23" t="s">
        <v>99</v>
      </c>
      <c r="D128" s="24" t="s">
        <v>52</v>
      </c>
      <c r="E128" s="25">
        <f>0.56*2+0.88*4+1.17*8+1.22*3+0.82*4+0.86*4</f>
        <v>24.380000000000003</v>
      </c>
      <c r="F128" s="25"/>
      <c r="G128" s="59">
        <f t="shared" si="7"/>
        <v>0</v>
      </c>
    </row>
    <row r="129" spans="1:7" s="8" customFormat="1" ht="25.5">
      <c r="A129" s="21" t="s">
        <v>1443</v>
      </c>
      <c r="B129" s="10" t="s">
        <v>86</v>
      </c>
      <c r="C129" s="11" t="s">
        <v>87</v>
      </c>
      <c r="D129" s="16" t="s">
        <v>11</v>
      </c>
      <c r="E129" s="25">
        <f>0.41*(2.33*2.08-(2.08*0.63+0.56*0.56))+0.1*(3.27*(2.36+0.83*2+0.84*2)-0.7*2.05*4+3.27*(1.57+1.22+0.92)-0.8*2.05-0.7*2.05)+0.39*3.27*2.2+0.14*(3.27*(5.74+4.5)-0.9*2.05*2)+0.37*(3.27*1.5+1*2.1)+0.28*(2.83*0.63+0.45*2.1)+0.07*(1.48*3.27-1*2.1+0.29*1.27)+0.3*(0.8*2.1+3.27*1.5)+0.41*3.27*1.48</f>
        <v>18.026637000000001</v>
      </c>
      <c r="F129" s="17"/>
      <c r="G129" s="59">
        <f t="shared" si="7"/>
        <v>0</v>
      </c>
    </row>
    <row r="130" spans="1:7" s="8" customFormat="1">
      <c r="A130" s="21" t="s">
        <v>240</v>
      </c>
      <c r="B130" s="10" t="s">
        <v>1174</v>
      </c>
      <c r="C130" s="11" t="s">
        <v>1175</v>
      </c>
      <c r="D130" s="16" t="s">
        <v>31</v>
      </c>
      <c r="E130" s="17">
        <f>0.6*0.45*4</f>
        <v>1.08</v>
      </c>
      <c r="F130" s="17"/>
      <c r="G130" s="59">
        <f t="shared" si="7"/>
        <v>0</v>
      </c>
    </row>
    <row r="131" spans="1:7" s="8" customFormat="1" ht="38.25">
      <c r="A131" s="21" t="s">
        <v>241</v>
      </c>
      <c r="B131" s="10" t="s">
        <v>92</v>
      </c>
      <c r="C131" s="11" t="s">
        <v>93</v>
      </c>
      <c r="D131" s="16" t="s">
        <v>31</v>
      </c>
      <c r="E131" s="17">
        <f>0.3*(3.27*(7.72*2+5.74*2)-(0.88*2.08*6+0.56*0.56+1.72*1.32+1.2*2.05)+3.23*(2.7*2+7.72*2)-(3.04*(1.72+1.91)+1.72*1.3+2.37*2.05)+3.27*(14.73*2+2.07*2+0.07*2+0.04*2+0.12*2)-(1.2*2.05+1.1*2.05+1.5*2.1+1.48*2.1+1.85*2.1+1.48*2.1+1.9*3.07+1.72*1.32*3)+3.27*(5.28*4+14.73*2+0.36*2)-(1.17*2.01*8+1.5*2.1+1.53*2.1*2+1.48*2.1+1.75*2.1)+3.27*(5.38*2+2.77)-(1.75*2.1+1.21*1.75*2+1.7*2.1)+2.62*(2.68+1.97+6.39+2.74+5.33+0.79)-(1.7*2.1+0.82*1.13*4+0.86*1.13*4+1*2.1))</f>
        <v>121.85021999999999</v>
      </c>
      <c r="F131" s="17"/>
      <c r="G131" s="59">
        <f t="shared" si="7"/>
        <v>0</v>
      </c>
    </row>
    <row r="132" spans="1:7" s="8" customFormat="1" ht="38.25">
      <c r="A132" s="21" t="s">
        <v>242</v>
      </c>
      <c r="B132" s="10" t="s">
        <v>95</v>
      </c>
      <c r="C132" s="11" t="s">
        <v>96</v>
      </c>
      <c r="D132" s="16" t="s">
        <v>31</v>
      </c>
      <c r="E132" s="17">
        <f>0.3*(20.8+17.2+6.8+18.6+14.2+14.9+19.7+3.7+4.9+6.3+33.4+4+10+29.3)</f>
        <v>61.14</v>
      </c>
      <c r="F132" s="17"/>
      <c r="G132" s="59">
        <f t="shared" si="7"/>
        <v>0</v>
      </c>
    </row>
    <row r="133" spans="1:7" s="8" customFormat="1">
      <c r="A133" s="21" t="s">
        <v>243</v>
      </c>
      <c r="B133" s="10" t="s">
        <v>59</v>
      </c>
      <c r="C133" s="11" t="s">
        <v>1466</v>
      </c>
      <c r="D133" s="16" t="s">
        <v>11</v>
      </c>
      <c r="E133" s="17">
        <f>(121.85*0.02+61.14*0.02)+(10*2.1*0.08+2.762*0.08+(172.6+21.4+26.2)*0.02+24.38*0.4*0.04+18.3)</f>
        <v>28.65484</v>
      </c>
      <c r="F133" s="17"/>
      <c r="G133" s="59">
        <f t="shared" si="7"/>
        <v>0</v>
      </c>
    </row>
    <row r="134" spans="1:7" s="8" customFormat="1">
      <c r="A134" s="18" t="s">
        <v>244</v>
      </c>
      <c r="B134" s="102" t="s">
        <v>105</v>
      </c>
      <c r="C134" s="103"/>
      <c r="D134" s="46"/>
      <c r="E134" s="46"/>
      <c r="F134" s="20"/>
      <c r="G134" s="64">
        <f>SUM(G135:G154)</f>
        <v>0</v>
      </c>
    </row>
    <row r="135" spans="1:7" s="8" customFormat="1" ht="25.5">
      <c r="A135" s="15" t="s">
        <v>245</v>
      </c>
      <c r="B135" s="10" t="s">
        <v>154</v>
      </c>
      <c r="C135" s="11" t="s">
        <v>155</v>
      </c>
      <c r="D135" s="16" t="s">
        <v>11</v>
      </c>
      <c r="E135" s="17">
        <f>0.41*1.22*1.75+0.27*0.75*2.1+(1.9*3.07-1.18*2.1)*0.27+0.3*0.85*2.1+0.3*0.48*2.1+(3.04*(1.91+1.72)-(1.2*2.05*2))*0.28+0.42*0.56*0.56</f>
        <v>4.8883180000000008</v>
      </c>
      <c r="F135" s="17"/>
      <c r="G135" s="59">
        <f t="shared" ref="G135:G154" si="8">E135*F135</f>
        <v>0</v>
      </c>
    </row>
    <row r="136" spans="1:7" s="8" customFormat="1" ht="25.5">
      <c r="A136" s="15" t="s">
        <v>246</v>
      </c>
      <c r="B136" s="10" t="s">
        <v>157</v>
      </c>
      <c r="C136" s="11" t="s">
        <v>158</v>
      </c>
      <c r="D136" s="16" t="s">
        <v>31</v>
      </c>
      <c r="E136" s="17">
        <f>3.27*(2.07+11.36+5.28+5.74+2.5)+2.83*3.26-(1*2.05*4+0.9*2.05+1.2*2.05)</f>
        <v>84.847300000000018</v>
      </c>
      <c r="F136" s="17"/>
      <c r="G136" s="59">
        <f t="shared" si="8"/>
        <v>0</v>
      </c>
    </row>
    <row r="137" spans="1:7" s="8" customFormat="1" ht="25.5">
      <c r="A137" s="15" t="s">
        <v>247</v>
      </c>
      <c r="B137" s="10" t="s">
        <v>157</v>
      </c>
      <c r="C137" s="11" t="s">
        <v>1199</v>
      </c>
      <c r="D137" s="16" t="s">
        <v>31</v>
      </c>
      <c r="E137" s="17">
        <f>3.04*1.9+3.27*2.14+2.83*1.91</f>
        <v>18.179100000000002</v>
      </c>
      <c r="F137" s="17"/>
      <c r="G137" s="59">
        <f t="shared" si="8"/>
        <v>0</v>
      </c>
    </row>
    <row r="138" spans="1:7" s="8" customFormat="1" ht="38.25">
      <c r="A138" s="15" t="s">
        <v>248</v>
      </c>
      <c r="B138" s="10" t="s">
        <v>1201</v>
      </c>
      <c r="C138" s="11" t="s">
        <v>1200</v>
      </c>
      <c r="D138" s="16" t="s">
        <v>31</v>
      </c>
      <c r="E138" s="17">
        <f>(0.13*2+0.25)*3.04*2+(0.5*2+0.3*2)*3.04+(0.29*2+0.52)*7.7+(0.25*2+0.4)*5.74+(0.25*2+0.28)*1.3+0.25*2.33+(0.25*2+0.37)*(1.5+1.48+1+1.5)+(0.25*2+0.27)*1</f>
        <v>28.734900000000003</v>
      </c>
      <c r="F138" s="17"/>
      <c r="G138" s="59">
        <f t="shared" si="8"/>
        <v>0</v>
      </c>
    </row>
    <row r="139" spans="1:7" s="8" customFormat="1" ht="25.5">
      <c r="A139" s="15" t="s">
        <v>249</v>
      </c>
      <c r="B139" s="10" t="s">
        <v>161</v>
      </c>
      <c r="C139" s="11" t="s">
        <v>1206</v>
      </c>
      <c r="D139" s="16" t="s">
        <v>31</v>
      </c>
      <c r="E139" s="17">
        <f>3.28*2.77+0.91*2.74</f>
        <v>11.579000000000001</v>
      </c>
      <c r="F139" s="17"/>
      <c r="G139" s="59">
        <f t="shared" si="8"/>
        <v>0</v>
      </c>
    </row>
    <row r="140" spans="1:7" s="8" customFormat="1" ht="25.5">
      <c r="A140" s="15" t="s">
        <v>250</v>
      </c>
      <c r="B140" s="10" t="s">
        <v>164</v>
      </c>
      <c r="C140" s="11" t="s">
        <v>165</v>
      </c>
      <c r="D140" s="16" t="s">
        <v>31</v>
      </c>
      <c r="E140" s="17">
        <f>121.85+3.28*2.77+0.75*2.1*2+(1.9*3.07-1.18*2.1)+0.48*2.1*2+0.85*2.1*2+3.04*(1.91*2+1.72*2)-1.2*2.05*4+1.72*1.3*5+0.56*0.56</f>
        <v>166.75059999999999</v>
      </c>
      <c r="F140" s="17"/>
      <c r="G140" s="59">
        <f t="shared" si="8"/>
        <v>0</v>
      </c>
    </row>
    <row r="141" spans="1:7" s="8" customFormat="1" ht="25.5">
      <c r="A141" s="15" t="s">
        <v>251</v>
      </c>
      <c r="B141" s="10" t="s">
        <v>63</v>
      </c>
      <c r="C141" s="11" t="s">
        <v>64</v>
      </c>
      <c r="D141" s="16" t="s">
        <v>31</v>
      </c>
      <c r="E141" s="17">
        <v>61.14</v>
      </c>
      <c r="F141" s="17"/>
      <c r="G141" s="59">
        <f t="shared" si="8"/>
        <v>0</v>
      </c>
    </row>
    <row r="142" spans="1:7" s="8" customFormat="1" ht="25.5">
      <c r="A142" s="15" t="s">
        <v>252</v>
      </c>
      <c r="B142" s="10" t="s">
        <v>117</v>
      </c>
      <c r="C142" s="11" t="s">
        <v>168</v>
      </c>
      <c r="D142" s="16" t="s">
        <v>52</v>
      </c>
      <c r="E142" s="17">
        <f>1.27*2+0.87*4+0.91*4+1.23*8+0.93*6</f>
        <v>25.08</v>
      </c>
      <c r="F142" s="17"/>
      <c r="G142" s="59">
        <f t="shared" si="8"/>
        <v>0</v>
      </c>
    </row>
    <row r="143" spans="1:7" s="8" customFormat="1" ht="25.5">
      <c r="A143" s="15" t="s">
        <v>253</v>
      </c>
      <c r="B143" s="10" t="s">
        <v>1183</v>
      </c>
      <c r="C143" s="11" t="s">
        <v>1184</v>
      </c>
      <c r="D143" s="16" t="s">
        <v>84</v>
      </c>
      <c r="E143" s="17">
        <v>5</v>
      </c>
      <c r="F143" s="17"/>
      <c r="G143" s="59">
        <f t="shared" si="8"/>
        <v>0</v>
      </c>
    </row>
    <row r="144" spans="1:7" s="8" customFormat="1" ht="25.5">
      <c r="A144" s="15" t="s">
        <v>254</v>
      </c>
      <c r="B144" s="10" t="s">
        <v>170</v>
      </c>
      <c r="C144" s="11" t="s">
        <v>171</v>
      </c>
      <c r="D144" s="16" t="s">
        <v>31</v>
      </c>
      <c r="E144" s="17">
        <f>0.7*(3.27*(7.72*2+5.74*2)-(0.88*2.08*6+0.56*0.56+1.72*1.32+1.2*2.05)+3.23*(2.7*2+7.72*2)-(3.04*(1.72+1.91)+1.72*1.3+2.37*2.05)+3.27*(14.73*2+2.07*2+0.07*2+0.04*2+0.12*2)-(1.2*2.05+1.1*2.05+1.5*2.1+1.48*2.1+1.85*2.1+1.48*2.1+1.9*3.07+1.72*1.32*3)+3.27*(5.28*4+14.73*2+0.36*2)-(1.17*2.01*8+1.5*2.1+1.53*2.1*2+1.48*2.1+1.75*2.1)+3.27*(5.38*2+2.77)-(1.75*2.1+1.21*1.75*2+1.7*2.1)+2.62*(2.68+1.97+6.39+2.74+5.33+0.79)-(1.7*2.1+0.82*1.13*4+0.86*1.13*4+1*2.1))</f>
        <v>284.31717999999995</v>
      </c>
      <c r="F144" s="17"/>
      <c r="G144" s="59">
        <f t="shared" si="8"/>
        <v>0</v>
      </c>
    </row>
    <row r="145" spans="1:7" s="8" customFormat="1">
      <c r="A145" s="15" t="s">
        <v>255</v>
      </c>
      <c r="B145" s="10" t="s">
        <v>1198</v>
      </c>
      <c r="C145" s="11" t="s">
        <v>1197</v>
      </c>
      <c r="D145" s="16" t="s">
        <v>31</v>
      </c>
      <c r="E145" s="17">
        <f>3.27*(3.93+5.13+3.26+1.89+3.26+3.62+5.28+1.54+11.36+2.07*3+1.91+5.74+1.61+2.5+2.5+4)+1.17*(1.91+2.14*2+1.9)-(1*2.05*8+1.2*2.05*2+0.9*2.05)</f>
        <v>194.73009999999996</v>
      </c>
      <c r="F145" s="17"/>
      <c r="G145" s="59">
        <f t="shared" si="8"/>
        <v>0</v>
      </c>
    </row>
    <row r="146" spans="1:7" s="8" customFormat="1" ht="38.25">
      <c r="A146" s="15" t="s">
        <v>256</v>
      </c>
      <c r="B146" s="10" t="s">
        <v>1455</v>
      </c>
      <c r="C146" s="11" t="s">
        <v>1457</v>
      </c>
      <c r="D146" s="16" t="s">
        <v>31</v>
      </c>
      <c r="E146" s="17">
        <f>166.75+284.32-40.64</f>
        <v>410.43</v>
      </c>
      <c r="F146" s="17"/>
      <c r="G146" s="59">
        <f t="shared" si="8"/>
        <v>0</v>
      </c>
    </row>
    <row r="147" spans="1:7" s="8" customFormat="1" ht="25.5">
      <c r="A147" s="15" t="s">
        <v>257</v>
      </c>
      <c r="B147" s="10" t="s">
        <v>175</v>
      </c>
      <c r="C147" s="11" t="s">
        <v>1460</v>
      </c>
      <c r="D147" s="16" t="s">
        <v>31</v>
      </c>
      <c r="E147" s="17">
        <f>0.7*(20.8+17.2+6.8+18.6+14.2+14.9+19.7+3.7+4.9+6.3+33.4+4+10+29.3)</f>
        <v>142.66</v>
      </c>
      <c r="F147" s="17"/>
      <c r="G147" s="59">
        <f t="shared" si="8"/>
        <v>0</v>
      </c>
    </row>
    <row r="148" spans="1:7" s="8" customFormat="1" ht="38.25">
      <c r="A148" s="15" t="s">
        <v>258</v>
      </c>
      <c r="B148" s="10" t="s">
        <v>1456</v>
      </c>
      <c r="C148" s="11" t="s">
        <v>1459</v>
      </c>
      <c r="D148" s="16" t="s">
        <v>31</v>
      </c>
      <c r="E148" s="17">
        <f>(20.8+17.2+6.8+18.6+14.2+14.9+19.7+3.7+4.9+6.3+33.4+4+10+29.3)</f>
        <v>203.8</v>
      </c>
      <c r="F148" s="17"/>
      <c r="G148" s="59">
        <f t="shared" si="8"/>
        <v>0</v>
      </c>
    </row>
    <row r="149" spans="1:7" s="8" customFormat="1" ht="25.5">
      <c r="A149" s="15" t="s">
        <v>259</v>
      </c>
      <c r="B149" s="10" t="s">
        <v>181</v>
      </c>
      <c r="C149" s="11" t="s">
        <v>182</v>
      </c>
      <c r="D149" s="16" t="s">
        <v>31</v>
      </c>
      <c r="E149" s="17">
        <f>2.1*(2.14*2+2.33*2+2.14*2+2.97*2)-1*2.05*2+1.5*1.5*2</f>
        <v>40.63600000000001</v>
      </c>
      <c r="F149" s="17"/>
      <c r="G149" s="59">
        <f t="shared" si="8"/>
        <v>0</v>
      </c>
    </row>
    <row r="150" spans="1:7" s="8" customFormat="1" ht="38.25">
      <c r="A150" s="15" t="s">
        <v>260</v>
      </c>
      <c r="B150" s="10" t="s">
        <v>184</v>
      </c>
      <c r="C150" s="11" t="s">
        <v>185</v>
      </c>
      <c r="D150" s="16" t="s">
        <v>31</v>
      </c>
      <c r="E150" s="17">
        <v>40.64</v>
      </c>
      <c r="F150" s="17"/>
      <c r="G150" s="59">
        <f t="shared" si="8"/>
        <v>0</v>
      </c>
    </row>
    <row r="151" spans="1:7" s="8" customFormat="1" ht="25.5">
      <c r="A151" s="15" t="s">
        <v>261</v>
      </c>
      <c r="B151" s="10" t="s">
        <v>187</v>
      </c>
      <c r="C151" s="11" t="s">
        <v>188</v>
      </c>
      <c r="D151" s="16" t="s">
        <v>31</v>
      </c>
      <c r="E151" s="17">
        <f>410.43+194.73</f>
        <v>605.16</v>
      </c>
      <c r="F151" s="17"/>
      <c r="G151" s="59">
        <f t="shared" si="8"/>
        <v>0</v>
      </c>
    </row>
    <row r="152" spans="1:7" s="8" customFormat="1" ht="25.5">
      <c r="A152" s="15" t="s">
        <v>262</v>
      </c>
      <c r="B152" s="10" t="s">
        <v>187</v>
      </c>
      <c r="C152" s="11" t="s">
        <v>190</v>
      </c>
      <c r="D152" s="16" t="s">
        <v>31</v>
      </c>
      <c r="E152" s="17">
        <f>(20.8+17.2+6.8+18.6+14.2+14.9+19.7+3.7+4.9+6.3+33.4+4+10+29.3)</f>
        <v>203.8</v>
      </c>
      <c r="F152" s="17"/>
      <c r="G152" s="59">
        <f t="shared" si="8"/>
        <v>0</v>
      </c>
    </row>
    <row r="153" spans="1:7" s="8" customFormat="1">
      <c r="A153" s="15" t="s">
        <v>1185</v>
      </c>
      <c r="B153" s="10" t="s">
        <v>187</v>
      </c>
      <c r="C153" s="11" t="s">
        <v>192</v>
      </c>
      <c r="D153" s="16" t="s">
        <v>31</v>
      </c>
      <c r="E153" s="17">
        <f>44.6+20.85</f>
        <v>65.45</v>
      </c>
      <c r="F153" s="17"/>
      <c r="G153" s="59">
        <f t="shared" si="8"/>
        <v>0</v>
      </c>
    </row>
    <row r="154" spans="1:7" s="8" customFormat="1">
      <c r="A154" s="15" t="s">
        <v>1207</v>
      </c>
      <c r="B154" s="10" t="s">
        <v>59</v>
      </c>
      <c r="C154" s="11" t="s">
        <v>199</v>
      </c>
      <c r="D154" s="16" t="s">
        <v>31</v>
      </c>
      <c r="E154" s="17">
        <f>(1.08*1.07+1.2)*2.05</f>
        <v>4.8289799999999996</v>
      </c>
      <c r="F154" s="17"/>
      <c r="G154" s="59">
        <f t="shared" si="8"/>
        <v>0</v>
      </c>
    </row>
    <row r="155" spans="1:7" s="8" customFormat="1">
      <c r="A155" s="18" t="s">
        <v>263</v>
      </c>
      <c r="B155" s="115" t="s">
        <v>120</v>
      </c>
      <c r="C155" s="116"/>
      <c r="D155" s="46"/>
      <c r="E155" s="46"/>
      <c r="F155" s="20"/>
      <c r="G155" s="64">
        <f>SUM(G156:G166)</f>
        <v>0</v>
      </c>
    </row>
    <row r="156" spans="1:7" s="8" customFormat="1" ht="38.25">
      <c r="A156" s="15" t="s">
        <v>264</v>
      </c>
      <c r="B156" s="10" t="s">
        <v>122</v>
      </c>
      <c r="C156" s="11" t="s">
        <v>123</v>
      </c>
      <c r="D156" s="16" t="s">
        <v>31</v>
      </c>
      <c r="E156" s="17">
        <f>8.4+17.2+6.8+18.6+14.2+14.9+19.7+3.7+4.9+6.3+33.4+4+10+29.3</f>
        <v>191.40000000000003</v>
      </c>
      <c r="F156" s="17"/>
      <c r="G156" s="59">
        <f t="shared" ref="G156:G166" si="9">E156*F156</f>
        <v>0</v>
      </c>
    </row>
    <row r="157" spans="1:7" s="8" customFormat="1" ht="38.25">
      <c r="A157" s="15" t="s">
        <v>265</v>
      </c>
      <c r="B157" s="10" t="s">
        <v>125</v>
      </c>
      <c r="C157" s="11" t="s">
        <v>126</v>
      </c>
      <c r="D157" s="16" t="s">
        <v>31</v>
      </c>
      <c r="E157" s="17">
        <f>8.4+3.7+4.9+6.3+33.4+4+10</f>
        <v>70.7</v>
      </c>
      <c r="F157" s="17"/>
      <c r="G157" s="59">
        <f t="shared" si="9"/>
        <v>0</v>
      </c>
    </row>
    <row r="158" spans="1:7" s="8" customFormat="1" ht="38.25">
      <c r="A158" s="15" t="s">
        <v>266</v>
      </c>
      <c r="B158" s="10" t="s">
        <v>128</v>
      </c>
      <c r="C158" s="11" t="s">
        <v>129</v>
      </c>
      <c r="D158" s="16" t="s">
        <v>31</v>
      </c>
      <c r="E158" s="17">
        <v>70.7</v>
      </c>
      <c r="F158" s="17"/>
      <c r="G158" s="59">
        <f t="shared" si="9"/>
        <v>0</v>
      </c>
    </row>
    <row r="159" spans="1:7" s="8" customFormat="1" ht="38.25">
      <c r="A159" s="15" t="s">
        <v>267</v>
      </c>
      <c r="B159" s="10" t="s">
        <v>131</v>
      </c>
      <c r="C159" s="11" t="s">
        <v>132</v>
      </c>
      <c r="D159" s="16" t="s">
        <v>52</v>
      </c>
      <c r="E159" s="17">
        <f>(3.22+2.7+2.99-1.3*2)+(1.8*2+2.07*2-0.9)+(2.07+3.63+0.07*2+0.37+0.26+1.54+11.36+3.98+1.99+2.07+0.49+0.41+2.42+0.28+5.4+2.44+0.03+5.16-(1.3+1.1+1*6+0.9+1.18))+(1.62*2+2.5*2-1.3*2-1)+(2.5*2+4*2-1)</f>
        <v>63.349999999999987</v>
      </c>
      <c r="F159" s="17"/>
      <c r="G159" s="59">
        <f t="shared" si="9"/>
        <v>0</v>
      </c>
    </row>
    <row r="160" spans="1:7" s="8" customFormat="1">
      <c r="A160" s="15" t="s">
        <v>268</v>
      </c>
      <c r="B160" s="10" t="s">
        <v>178</v>
      </c>
      <c r="C160" s="11" t="s">
        <v>215</v>
      </c>
      <c r="D160" s="16" t="s">
        <v>31</v>
      </c>
      <c r="E160" s="17">
        <f>17.2+6.8+18.6+29.3</f>
        <v>71.900000000000006</v>
      </c>
      <c r="F160" s="17"/>
      <c r="G160" s="59">
        <f t="shared" si="9"/>
        <v>0</v>
      </c>
    </row>
    <row r="161" spans="1:7" s="8" customFormat="1" ht="25.5">
      <c r="A161" s="15" t="s">
        <v>269</v>
      </c>
      <c r="B161" s="10" t="s">
        <v>217</v>
      </c>
      <c r="C161" s="11" t="s">
        <v>218</v>
      </c>
      <c r="D161" s="16" t="s">
        <v>31</v>
      </c>
      <c r="E161" s="17">
        <v>71.900000000000006</v>
      </c>
      <c r="F161" s="17"/>
      <c r="G161" s="59">
        <f t="shared" si="9"/>
        <v>0</v>
      </c>
    </row>
    <row r="162" spans="1:7" s="8" customFormat="1" ht="25.5">
      <c r="A162" s="15" t="s">
        <v>270</v>
      </c>
      <c r="B162" s="10" t="s">
        <v>220</v>
      </c>
      <c r="C162" s="11" t="s">
        <v>221</v>
      </c>
      <c r="D162" s="16" t="s">
        <v>31</v>
      </c>
      <c r="E162" s="17">
        <v>71.900000000000006</v>
      </c>
      <c r="F162" s="17"/>
      <c r="G162" s="59">
        <f t="shared" si="9"/>
        <v>0</v>
      </c>
    </row>
    <row r="163" spans="1:7" s="8" customFormat="1" ht="25.5">
      <c r="A163" s="15" t="s">
        <v>271</v>
      </c>
      <c r="B163" s="10" t="s">
        <v>223</v>
      </c>
      <c r="C163" s="11" t="s">
        <v>224</v>
      </c>
      <c r="D163" s="16" t="s">
        <v>52</v>
      </c>
      <c r="E163" s="17">
        <f>(3.25*2+5.28*2-1.1)+(1.9*2+3.62*2-1)+(5.13*2+3.62*2-1)+(5.78*2+5.1*2-1.3)</f>
        <v>62.959999999999994</v>
      </c>
      <c r="F163" s="17"/>
      <c r="G163" s="59">
        <f t="shared" si="9"/>
        <v>0</v>
      </c>
    </row>
    <row r="164" spans="1:7" s="8" customFormat="1">
      <c r="A164" s="15" t="s">
        <v>272</v>
      </c>
      <c r="B164" s="10" t="s">
        <v>178</v>
      </c>
      <c r="C164" s="11" t="s">
        <v>215</v>
      </c>
      <c r="D164" s="16" t="s">
        <v>31</v>
      </c>
      <c r="E164" s="17">
        <f>14.2+14.9+19.7</f>
        <v>48.8</v>
      </c>
      <c r="F164" s="17"/>
      <c r="G164" s="59">
        <f t="shared" si="9"/>
        <v>0</v>
      </c>
    </row>
    <row r="165" spans="1:7" s="8" customFormat="1" ht="25.5">
      <c r="A165" s="15" t="s">
        <v>273</v>
      </c>
      <c r="B165" s="10" t="s">
        <v>227</v>
      </c>
      <c r="C165" s="11" t="s">
        <v>228</v>
      </c>
      <c r="D165" s="16" t="s">
        <v>31</v>
      </c>
      <c r="E165" s="17">
        <v>48.8</v>
      </c>
      <c r="F165" s="17"/>
      <c r="G165" s="59">
        <f t="shared" si="9"/>
        <v>0</v>
      </c>
    </row>
    <row r="166" spans="1:7" s="8" customFormat="1" ht="25.5">
      <c r="A166" s="15" t="s">
        <v>274</v>
      </c>
      <c r="B166" s="10" t="s">
        <v>230</v>
      </c>
      <c r="C166" s="11" t="s">
        <v>231</v>
      </c>
      <c r="D166" s="16" t="s">
        <v>52</v>
      </c>
      <c r="E166" s="17">
        <f>(3.62*2+3.93*2-1)+(2.77*2+5.38*2-(1+1.79))+(2.68+1.97+6.38+2.74+5.32+7.87-(1.79+1))</f>
        <v>51.780000000000008</v>
      </c>
      <c r="F166" s="17"/>
      <c r="G166" s="59">
        <f t="shared" si="9"/>
        <v>0</v>
      </c>
    </row>
    <row r="167" spans="1:7" s="8" customFormat="1">
      <c r="A167" s="32" t="s">
        <v>275</v>
      </c>
      <c r="B167" s="106" t="s">
        <v>1333</v>
      </c>
      <c r="C167" s="107"/>
      <c r="D167" s="30"/>
      <c r="E167" s="30"/>
      <c r="F167" s="31"/>
      <c r="G167" s="62">
        <f>SUM(G168:G177)</f>
        <v>0</v>
      </c>
    </row>
    <row r="168" spans="1:7" s="8" customFormat="1" ht="25.5">
      <c r="A168" s="15" t="s">
        <v>276</v>
      </c>
      <c r="B168" s="10" t="s">
        <v>303</v>
      </c>
      <c r="C168" s="11" t="s">
        <v>304</v>
      </c>
      <c r="D168" s="16" t="s">
        <v>31</v>
      </c>
      <c r="E168" s="17">
        <f>1*2.05*15</f>
        <v>30.749999999999996</v>
      </c>
      <c r="F168" s="17"/>
      <c r="G168" s="59">
        <f t="shared" ref="G168:G176" si="10">E168*F168</f>
        <v>0</v>
      </c>
    </row>
    <row r="169" spans="1:7" s="8" customFormat="1" ht="25.5">
      <c r="A169" s="15" t="s">
        <v>279</v>
      </c>
      <c r="B169" s="10" t="s">
        <v>303</v>
      </c>
      <c r="C169" s="11" t="s">
        <v>1531</v>
      </c>
      <c r="D169" s="16" t="s">
        <v>31</v>
      </c>
      <c r="E169" s="17">
        <f>1*2.05*1</f>
        <v>2.0499999999999998</v>
      </c>
      <c r="F169" s="17"/>
      <c r="G169" s="59">
        <f t="shared" si="10"/>
        <v>0</v>
      </c>
    </row>
    <row r="170" spans="1:7" s="8" customFormat="1" ht="25.5">
      <c r="A170" s="15" t="s">
        <v>281</v>
      </c>
      <c r="B170" s="10" t="s">
        <v>303</v>
      </c>
      <c r="C170" s="11" t="s">
        <v>307</v>
      </c>
      <c r="D170" s="16" t="s">
        <v>31</v>
      </c>
      <c r="E170" s="17">
        <f>0.9*2.05*5</f>
        <v>9.2249999999999996</v>
      </c>
      <c r="F170" s="17"/>
      <c r="G170" s="59">
        <f t="shared" si="10"/>
        <v>0</v>
      </c>
    </row>
    <row r="171" spans="1:7" s="8" customFormat="1" ht="25.5">
      <c r="A171" s="15" t="s">
        <v>284</v>
      </c>
      <c r="B171" s="10" t="s">
        <v>303</v>
      </c>
      <c r="C171" s="11" t="s">
        <v>1532</v>
      </c>
      <c r="D171" s="16" t="s">
        <v>31</v>
      </c>
      <c r="E171" s="17">
        <f>0.9*2.05*1</f>
        <v>1.845</v>
      </c>
      <c r="F171" s="17"/>
      <c r="G171" s="59">
        <f t="shared" si="10"/>
        <v>0</v>
      </c>
    </row>
    <row r="172" spans="1:7" s="8" customFormat="1" ht="25.5">
      <c r="A172" s="15" t="s">
        <v>286</v>
      </c>
      <c r="B172" s="10" t="s">
        <v>303</v>
      </c>
      <c r="C172" s="11" t="s">
        <v>310</v>
      </c>
      <c r="D172" s="16" t="s">
        <v>31</v>
      </c>
      <c r="E172" s="17">
        <f>1.1*2.05*5</f>
        <v>11.274999999999999</v>
      </c>
      <c r="F172" s="17"/>
      <c r="G172" s="59">
        <f t="shared" si="10"/>
        <v>0</v>
      </c>
    </row>
    <row r="173" spans="1:7" s="8" customFormat="1">
      <c r="A173" s="15" t="s">
        <v>289</v>
      </c>
      <c r="B173" s="10" t="s">
        <v>312</v>
      </c>
      <c r="C173" s="11" t="s">
        <v>313</v>
      </c>
      <c r="D173" s="16" t="s">
        <v>31</v>
      </c>
      <c r="E173" s="17">
        <f>1.3*2.05*1</f>
        <v>2.665</v>
      </c>
      <c r="F173" s="17"/>
      <c r="G173" s="59">
        <f t="shared" si="10"/>
        <v>0</v>
      </c>
    </row>
    <row r="174" spans="1:7" s="8" customFormat="1" ht="25.5">
      <c r="A174" s="15" t="s">
        <v>291</v>
      </c>
      <c r="B174" s="10" t="s">
        <v>315</v>
      </c>
      <c r="C174" s="11" t="s">
        <v>1533</v>
      </c>
      <c r="D174" s="16" t="s">
        <v>31</v>
      </c>
      <c r="E174" s="17">
        <f>1.3*2.05*6</f>
        <v>15.99</v>
      </c>
      <c r="F174" s="17"/>
      <c r="G174" s="59">
        <f t="shared" si="10"/>
        <v>0</v>
      </c>
    </row>
    <row r="175" spans="1:7" s="8" customFormat="1">
      <c r="A175" s="15" t="s">
        <v>293</v>
      </c>
      <c r="B175" s="10" t="s">
        <v>312</v>
      </c>
      <c r="C175" s="11" t="s">
        <v>317</v>
      </c>
      <c r="D175" s="16" t="s">
        <v>31</v>
      </c>
      <c r="E175" s="17">
        <f>1.8*2.05*1</f>
        <v>3.69</v>
      </c>
      <c r="F175" s="17"/>
      <c r="G175" s="59">
        <f t="shared" si="10"/>
        <v>0</v>
      </c>
    </row>
    <row r="176" spans="1:7" s="8" customFormat="1" ht="25.5">
      <c r="A176" s="15" t="s">
        <v>295</v>
      </c>
      <c r="B176" s="22" t="s">
        <v>460</v>
      </c>
      <c r="C176" s="23" t="s">
        <v>1332</v>
      </c>
      <c r="D176" s="24" t="s">
        <v>461</v>
      </c>
      <c r="E176" s="25">
        <v>1</v>
      </c>
      <c r="F176" s="25"/>
      <c r="G176" s="59">
        <f t="shared" si="10"/>
        <v>0</v>
      </c>
    </row>
    <row r="177" spans="1:7" s="8" customFormat="1" ht="25.5">
      <c r="A177" s="15" t="s">
        <v>298</v>
      </c>
      <c r="B177" s="22" t="s">
        <v>466</v>
      </c>
      <c r="C177" s="23" t="s">
        <v>467</v>
      </c>
      <c r="D177" s="24" t="s">
        <v>52</v>
      </c>
      <c r="E177" s="25">
        <v>9.4</v>
      </c>
      <c r="F177" s="25"/>
      <c r="G177" s="59"/>
    </row>
    <row r="178" spans="1:7" s="8" customFormat="1">
      <c r="A178" s="32" t="s">
        <v>301</v>
      </c>
      <c r="B178" s="106" t="s">
        <v>325</v>
      </c>
      <c r="C178" s="107"/>
      <c r="D178" s="30"/>
      <c r="E178" s="30"/>
      <c r="F178" s="31"/>
      <c r="G178" s="62">
        <f>SUM(G179:G198)</f>
        <v>0</v>
      </c>
    </row>
    <row r="179" spans="1:7" s="8" customFormat="1" ht="38.25">
      <c r="A179" s="15" t="s">
        <v>302</v>
      </c>
      <c r="B179" s="10" t="s">
        <v>327</v>
      </c>
      <c r="C179" s="11" t="s">
        <v>328</v>
      </c>
      <c r="D179" s="16" t="s">
        <v>11</v>
      </c>
      <c r="E179" s="17">
        <f>0.15*(1*(3.1+0.4)+2.42*14.54+0.6*(8.54+16.93))</f>
        <v>8.0953199999999992</v>
      </c>
      <c r="F179" s="17"/>
      <c r="G179" s="59">
        <f t="shared" ref="G179:G198" si="11">E179*F179</f>
        <v>0</v>
      </c>
    </row>
    <row r="180" spans="1:7" s="8" customFormat="1" ht="25.5">
      <c r="A180" s="15" t="s">
        <v>305</v>
      </c>
      <c r="B180" s="10" t="s">
        <v>1209</v>
      </c>
      <c r="C180" s="11" t="s">
        <v>1208</v>
      </c>
      <c r="D180" s="16" t="s">
        <v>31</v>
      </c>
      <c r="E180" s="17">
        <f>(1*(3.1+0.4)+2.42*14.54+0.6*(8.54+16.93))</f>
        <v>53.968799999999995</v>
      </c>
      <c r="F180" s="17"/>
      <c r="G180" s="59">
        <f t="shared" si="11"/>
        <v>0</v>
      </c>
    </row>
    <row r="181" spans="1:7" s="8" customFormat="1" ht="25.5">
      <c r="A181" s="15" t="s">
        <v>306</v>
      </c>
      <c r="B181" s="10" t="s">
        <v>1210</v>
      </c>
      <c r="C181" s="11" t="s">
        <v>1211</v>
      </c>
      <c r="D181" s="16" t="s">
        <v>11</v>
      </c>
      <c r="E181" s="17">
        <f>1*2.1*(4.1+3.01+4.74+14.54+6+10.54+16.93)</f>
        <v>125.706</v>
      </c>
      <c r="F181" s="17"/>
      <c r="G181" s="59">
        <f t="shared" si="11"/>
        <v>0</v>
      </c>
    </row>
    <row r="182" spans="1:7" s="8" customFormat="1" ht="25.5">
      <c r="A182" s="15" t="s">
        <v>308</v>
      </c>
      <c r="B182" s="10" t="s">
        <v>334</v>
      </c>
      <c r="C182" s="11" t="s">
        <v>335</v>
      </c>
      <c r="D182" s="16" t="s">
        <v>31</v>
      </c>
      <c r="E182" s="17">
        <f>2.1*(1+4.1+3.1+4.74+4.01+1*2+14.54+7+10.54+16.93)</f>
        <v>142.71599999999998</v>
      </c>
      <c r="F182" s="17"/>
      <c r="G182" s="59">
        <f t="shared" si="11"/>
        <v>0</v>
      </c>
    </row>
    <row r="183" spans="1:7" s="8" customFormat="1" ht="25.5">
      <c r="A183" s="15" t="s">
        <v>309</v>
      </c>
      <c r="B183" s="10" t="s">
        <v>337</v>
      </c>
      <c r="C183" s="11" t="s">
        <v>338</v>
      </c>
      <c r="D183" s="16" t="s">
        <v>31</v>
      </c>
      <c r="E183" s="17">
        <f>2.1*(3.07+0.42+0.27+2.59+5.74+14.54+6.01+8.54+16.93)</f>
        <v>122.03100000000001</v>
      </c>
      <c r="F183" s="17"/>
      <c r="G183" s="59">
        <f>E183*F183</f>
        <v>0</v>
      </c>
    </row>
    <row r="184" spans="1:7" s="8" customFormat="1" ht="25.5">
      <c r="A184" s="15" t="s">
        <v>311</v>
      </c>
      <c r="B184" s="10" t="s">
        <v>340</v>
      </c>
      <c r="C184" s="11" t="s">
        <v>1444</v>
      </c>
      <c r="D184" s="16" t="s">
        <v>31</v>
      </c>
      <c r="E184" s="17">
        <f>122.03*0.6</f>
        <v>73.218000000000004</v>
      </c>
      <c r="F184" s="17"/>
      <c r="G184" s="59">
        <f t="shared" si="11"/>
        <v>0</v>
      </c>
    </row>
    <row r="185" spans="1:7" s="8" customFormat="1" ht="25.5">
      <c r="A185" s="15" t="s">
        <v>314</v>
      </c>
      <c r="B185" s="10" t="s">
        <v>342</v>
      </c>
      <c r="C185" s="11" t="s">
        <v>343</v>
      </c>
      <c r="D185" s="16" t="s">
        <v>31</v>
      </c>
      <c r="E185" s="17">
        <v>73.22</v>
      </c>
      <c r="F185" s="17"/>
      <c r="G185" s="59">
        <f t="shared" si="11"/>
        <v>0</v>
      </c>
    </row>
    <row r="186" spans="1:7" s="8" customFormat="1">
      <c r="A186" s="15" t="s">
        <v>316</v>
      </c>
      <c r="B186" s="10" t="s">
        <v>59</v>
      </c>
      <c r="C186" s="11" t="s">
        <v>1466</v>
      </c>
      <c r="D186" s="16" t="s">
        <v>11</v>
      </c>
      <c r="E186" s="17">
        <f>73.22*0.02+((1*(3.1+0.4)+2.42*14.54+0.6*(8.54+16.93))*0.3)</f>
        <v>17.65504</v>
      </c>
      <c r="F186" s="17"/>
      <c r="G186" s="59">
        <f t="shared" si="11"/>
        <v>0</v>
      </c>
    </row>
    <row r="187" spans="1:7" s="8" customFormat="1">
      <c r="A187" s="15" t="s">
        <v>318</v>
      </c>
      <c r="B187" s="10" t="s">
        <v>347</v>
      </c>
      <c r="C187" s="11" t="s">
        <v>348</v>
      </c>
      <c r="D187" s="16" t="s">
        <v>31</v>
      </c>
      <c r="E187" s="17">
        <v>122.03</v>
      </c>
      <c r="F187" s="17"/>
      <c r="G187" s="59">
        <f t="shared" si="11"/>
        <v>0</v>
      </c>
    </row>
    <row r="188" spans="1:7" s="8" customFormat="1" ht="38.25">
      <c r="A188" s="15" t="s">
        <v>320</v>
      </c>
      <c r="B188" s="10" t="s">
        <v>1446</v>
      </c>
      <c r="C188" s="11" t="s">
        <v>1445</v>
      </c>
      <c r="D188" s="16" t="s">
        <v>31</v>
      </c>
      <c r="E188" s="17">
        <v>122.03</v>
      </c>
      <c r="F188" s="17"/>
      <c r="G188" s="59">
        <f t="shared" si="11"/>
        <v>0</v>
      </c>
    </row>
    <row r="189" spans="1:7" s="8" customFormat="1" ht="25.5">
      <c r="A189" s="15" t="s">
        <v>322</v>
      </c>
      <c r="B189" s="10" t="s">
        <v>352</v>
      </c>
      <c r="C189" s="11" t="s">
        <v>353</v>
      </c>
      <c r="D189" s="16" t="s">
        <v>52</v>
      </c>
      <c r="E189" s="17">
        <f>(3.07+0.42+0.27+2.59+5.74+14.54+6.01+8.54+16.93)</f>
        <v>58.11</v>
      </c>
      <c r="F189" s="17"/>
      <c r="G189" s="59">
        <f t="shared" si="11"/>
        <v>0</v>
      </c>
    </row>
    <row r="190" spans="1:7" s="8" customFormat="1" ht="38.25">
      <c r="A190" s="15" t="s">
        <v>960</v>
      </c>
      <c r="B190" s="22" t="s">
        <v>1159</v>
      </c>
      <c r="C190" s="23" t="s">
        <v>1447</v>
      </c>
      <c r="D190" s="24" t="s">
        <v>31</v>
      </c>
      <c r="E190" s="25">
        <f>1*(3.07+0.42+0.27+2.59+5.74+14.54+6.01+8.54+16.93)</f>
        <v>58.11</v>
      </c>
      <c r="F190" s="25"/>
      <c r="G190" s="59">
        <f t="shared" si="11"/>
        <v>0</v>
      </c>
    </row>
    <row r="191" spans="1:7" s="8" customFormat="1">
      <c r="A191" s="15" t="s">
        <v>963</v>
      </c>
      <c r="B191" s="10" t="s">
        <v>953</v>
      </c>
      <c r="C191" s="11" t="s">
        <v>1448</v>
      </c>
      <c r="D191" s="16" t="s">
        <v>31</v>
      </c>
      <c r="E191" s="17">
        <v>122.03</v>
      </c>
      <c r="F191" s="17"/>
      <c r="G191" s="59">
        <f t="shared" si="11"/>
        <v>0</v>
      </c>
    </row>
    <row r="192" spans="1:7" s="8" customFormat="1" ht="38.25">
      <c r="A192" s="15" t="s">
        <v>967</v>
      </c>
      <c r="B192" s="10" t="s">
        <v>354</v>
      </c>
      <c r="C192" s="11" t="s">
        <v>355</v>
      </c>
      <c r="D192" s="16" t="s">
        <v>11</v>
      </c>
      <c r="E192" s="17">
        <v>125.71</v>
      </c>
      <c r="F192" s="17"/>
      <c r="G192" s="59">
        <f t="shared" si="11"/>
        <v>0</v>
      </c>
    </row>
    <row r="193" spans="1:7" s="8" customFormat="1" ht="25.5">
      <c r="A193" s="15" t="s">
        <v>968</v>
      </c>
      <c r="B193" s="10" t="s">
        <v>356</v>
      </c>
      <c r="C193" s="11" t="s">
        <v>357</v>
      </c>
      <c r="D193" s="16" t="s">
        <v>11</v>
      </c>
      <c r="E193" s="17">
        <v>125.71</v>
      </c>
      <c r="F193" s="17"/>
      <c r="G193" s="59">
        <f t="shared" si="11"/>
        <v>0</v>
      </c>
    </row>
    <row r="194" spans="1:7" s="8" customFormat="1" ht="25.5">
      <c r="A194" s="15" t="s">
        <v>971</v>
      </c>
      <c r="B194" s="10" t="s">
        <v>358</v>
      </c>
      <c r="C194" s="11" t="s">
        <v>359</v>
      </c>
      <c r="D194" s="16" t="s">
        <v>31</v>
      </c>
      <c r="E194" s="17">
        <f>(1*(3.1+0.4)+2.42*14.54+0.6*(8.54+16.93))</f>
        <v>53.968799999999995</v>
      </c>
      <c r="F194" s="17"/>
      <c r="G194" s="59">
        <f t="shared" si="11"/>
        <v>0</v>
      </c>
    </row>
    <row r="195" spans="1:7" s="8" customFormat="1" ht="25.5">
      <c r="A195" s="15" t="s">
        <v>972</v>
      </c>
      <c r="B195" s="10" t="s">
        <v>1426</v>
      </c>
      <c r="C195" s="11" t="s">
        <v>1449</v>
      </c>
      <c r="D195" s="16" t="s">
        <v>31</v>
      </c>
      <c r="E195" s="17">
        <v>53.97</v>
      </c>
      <c r="F195" s="17"/>
      <c r="G195" s="59">
        <f t="shared" si="11"/>
        <v>0</v>
      </c>
    </row>
    <row r="196" spans="1:7" s="8" customFormat="1" ht="25.5">
      <c r="A196" s="15" t="s">
        <v>975</v>
      </c>
      <c r="B196" s="10" t="s">
        <v>360</v>
      </c>
      <c r="C196" s="11" t="s">
        <v>361</v>
      </c>
      <c r="D196" s="16" t="s">
        <v>31</v>
      </c>
      <c r="E196" s="17">
        <v>53.97</v>
      </c>
      <c r="F196" s="17"/>
      <c r="G196" s="59">
        <f t="shared" si="11"/>
        <v>0</v>
      </c>
    </row>
    <row r="197" spans="1:7" s="8" customFormat="1">
      <c r="A197" s="15" t="s">
        <v>1225</v>
      </c>
      <c r="B197" s="10" t="s">
        <v>362</v>
      </c>
      <c r="C197" s="11" t="s">
        <v>363</v>
      </c>
      <c r="D197" s="16" t="s">
        <v>11</v>
      </c>
      <c r="E197" s="17">
        <f>(8.54+0.6+16.93)*0.1</f>
        <v>2.6070000000000002</v>
      </c>
      <c r="F197" s="17"/>
      <c r="G197" s="59">
        <f t="shared" si="11"/>
        <v>0</v>
      </c>
    </row>
    <row r="198" spans="1:7" s="8" customFormat="1" ht="25.5">
      <c r="A198" s="15" t="s">
        <v>1226</v>
      </c>
      <c r="B198" s="10" t="s">
        <v>364</v>
      </c>
      <c r="C198" s="11" t="s">
        <v>365</v>
      </c>
      <c r="D198" s="16" t="s">
        <v>52</v>
      </c>
      <c r="E198" s="17">
        <f>8.54+0.6+16.93</f>
        <v>26.07</v>
      </c>
      <c r="F198" s="17"/>
      <c r="G198" s="59">
        <f t="shared" si="11"/>
        <v>0</v>
      </c>
    </row>
    <row r="199" spans="1:7" s="8" customFormat="1">
      <c r="A199" s="32" t="s">
        <v>324</v>
      </c>
      <c r="B199" s="106" t="s">
        <v>473</v>
      </c>
      <c r="C199" s="107"/>
      <c r="D199" s="107"/>
      <c r="E199" s="107"/>
      <c r="F199" s="108"/>
      <c r="G199" s="62">
        <f>SUM(G200:G207)</f>
        <v>0</v>
      </c>
    </row>
    <row r="200" spans="1:7" s="8" customFormat="1" ht="25.5">
      <c r="A200" s="15" t="s">
        <v>326</v>
      </c>
      <c r="B200" s="10" t="s">
        <v>475</v>
      </c>
      <c r="C200" s="11" t="s">
        <v>476</v>
      </c>
      <c r="D200" s="16" t="s">
        <v>31</v>
      </c>
      <c r="E200" s="17">
        <f>0.5*13+3.49+0.33+0.39</f>
        <v>10.71</v>
      </c>
      <c r="F200" s="17"/>
      <c r="G200" s="59">
        <f t="shared" ref="G200:G207" si="12">E200*F200</f>
        <v>0</v>
      </c>
    </row>
    <row r="201" spans="1:7" s="8" customFormat="1" ht="25.5">
      <c r="A201" s="15" t="s">
        <v>329</v>
      </c>
      <c r="B201" s="10" t="s">
        <v>478</v>
      </c>
      <c r="C201" s="11" t="s">
        <v>479</v>
      </c>
      <c r="D201" s="16" t="s">
        <v>52</v>
      </c>
      <c r="E201" s="17">
        <f>2.65+2.75+1.5+1.2</f>
        <v>8.1</v>
      </c>
      <c r="F201" s="17"/>
      <c r="G201" s="59">
        <f t="shared" si="12"/>
        <v>0</v>
      </c>
    </row>
    <row r="202" spans="1:7" s="8" customFormat="1">
      <c r="A202" s="15" t="s">
        <v>330</v>
      </c>
      <c r="B202" s="10" t="s">
        <v>59</v>
      </c>
      <c r="C202" s="11" t="s">
        <v>442</v>
      </c>
      <c r="D202" s="16" t="s">
        <v>11</v>
      </c>
      <c r="E202" s="17">
        <f>10.71*0.04+8.1*1.1*0.04</f>
        <v>0.78480000000000005</v>
      </c>
      <c r="F202" s="17"/>
      <c r="G202" s="59">
        <f t="shared" si="12"/>
        <v>0</v>
      </c>
    </row>
    <row r="203" spans="1:7" s="8" customFormat="1" ht="25.5">
      <c r="A203" s="15" t="s">
        <v>331</v>
      </c>
      <c r="B203" s="10" t="s">
        <v>481</v>
      </c>
      <c r="C203" s="11" t="s">
        <v>482</v>
      </c>
      <c r="D203" s="16" t="s">
        <v>31</v>
      </c>
      <c r="E203" s="17">
        <f>5.15*0.15*3</f>
        <v>2.3175000000000003</v>
      </c>
      <c r="F203" s="17"/>
      <c r="G203" s="59">
        <f t="shared" si="12"/>
        <v>0</v>
      </c>
    </row>
    <row r="204" spans="1:7" s="8" customFormat="1" ht="25.5">
      <c r="A204" s="15" t="s">
        <v>332</v>
      </c>
      <c r="B204" s="10" t="s">
        <v>55</v>
      </c>
      <c r="C204" s="11" t="s">
        <v>483</v>
      </c>
      <c r="D204" s="16" t="s">
        <v>11</v>
      </c>
      <c r="E204" s="17">
        <f>3.3*1.2*1*2+4.1*3*1.2</f>
        <v>22.679999999999996</v>
      </c>
      <c r="F204" s="17"/>
      <c r="G204" s="59">
        <f t="shared" si="12"/>
        <v>0</v>
      </c>
    </row>
    <row r="205" spans="1:7" s="8" customFormat="1" ht="25.5">
      <c r="A205" s="15" t="s">
        <v>333</v>
      </c>
      <c r="B205" s="10" t="s">
        <v>55</v>
      </c>
      <c r="C205" s="11" t="s">
        <v>484</v>
      </c>
      <c r="D205" s="16" t="s">
        <v>11</v>
      </c>
      <c r="E205" s="17">
        <f>5.65*1.2*0.15</f>
        <v>1.0169999999999999</v>
      </c>
      <c r="F205" s="17"/>
      <c r="G205" s="59">
        <f t="shared" si="12"/>
        <v>0</v>
      </c>
    </row>
    <row r="206" spans="1:7" s="8" customFormat="1" ht="38.25">
      <c r="A206" s="15" t="s">
        <v>336</v>
      </c>
      <c r="B206" s="10" t="s">
        <v>485</v>
      </c>
      <c r="C206" s="11" t="s">
        <v>486</v>
      </c>
      <c r="D206" s="16" t="s">
        <v>11</v>
      </c>
      <c r="E206" s="17">
        <f>(9+3)*0.2</f>
        <v>2.4000000000000004</v>
      </c>
      <c r="F206" s="17"/>
      <c r="G206" s="59">
        <f t="shared" si="12"/>
        <v>0</v>
      </c>
    </row>
    <row r="207" spans="1:7" s="8" customFormat="1">
      <c r="A207" s="15" t="s">
        <v>339</v>
      </c>
      <c r="B207" s="10" t="s">
        <v>59</v>
      </c>
      <c r="C207" s="11" t="s">
        <v>1466</v>
      </c>
      <c r="D207" s="16" t="s">
        <v>11</v>
      </c>
      <c r="E207" s="17">
        <f>22.68+1.017+2.4+2.318*0.05</f>
        <v>26.212899999999998</v>
      </c>
      <c r="F207" s="17"/>
      <c r="G207" s="59">
        <f t="shared" si="12"/>
        <v>0</v>
      </c>
    </row>
    <row r="208" spans="1:7" s="8" customFormat="1">
      <c r="A208" s="32" t="s">
        <v>366</v>
      </c>
      <c r="B208" s="28" t="s">
        <v>488</v>
      </c>
      <c r="C208" s="29"/>
      <c r="D208" s="30"/>
      <c r="E208" s="30"/>
      <c r="F208" s="31"/>
      <c r="G208" s="62">
        <f>SUM(G209:G216)</f>
        <v>0</v>
      </c>
    </row>
    <row r="209" spans="1:7" s="8" customFormat="1">
      <c r="A209" s="15" t="s">
        <v>367</v>
      </c>
      <c r="B209" s="10" t="s">
        <v>490</v>
      </c>
      <c r="C209" s="11" t="s">
        <v>491</v>
      </c>
      <c r="D209" s="16" t="s">
        <v>31</v>
      </c>
      <c r="E209" s="17">
        <v>5.8</v>
      </c>
      <c r="F209" s="17"/>
      <c r="G209" s="59">
        <f t="shared" ref="G209:G216" si="13">E209*F209</f>
        <v>0</v>
      </c>
    </row>
    <row r="210" spans="1:7" s="8" customFormat="1" ht="25.5">
      <c r="A210" s="15" t="s">
        <v>369</v>
      </c>
      <c r="B210" s="10" t="s">
        <v>1451</v>
      </c>
      <c r="C210" s="11" t="s">
        <v>1450</v>
      </c>
      <c r="D210" s="16" t="s">
        <v>31</v>
      </c>
      <c r="E210" s="17">
        <v>5.8</v>
      </c>
      <c r="F210" s="17"/>
      <c r="G210" s="59">
        <f t="shared" si="13"/>
        <v>0</v>
      </c>
    </row>
    <row r="211" spans="1:7" s="8" customFormat="1" ht="38.25">
      <c r="A211" s="15" t="s">
        <v>370</v>
      </c>
      <c r="B211" s="10" t="s">
        <v>1453</v>
      </c>
      <c r="C211" s="11" t="s">
        <v>1452</v>
      </c>
      <c r="D211" s="16" t="s">
        <v>31</v>
      </c>
      <c r="E211" s="17">
        <v>5.8</v>
      </c>
      <c r="F211" s="17"/>
      <c r="G211" s="59">
        <f t="shared" si="13"/>
        <v>0</v>
      </c>
    </row>
    <row r="212" spans="1:7" s="8" customFormat="1" ht="38.25">
      <c r="A212" s="15" t="s">
        <v>372</v>
      </c>
      <c r="B212" s="10" t="s">
        <v>125</v>
      </c>
      <c r="C212" s="11" t="s">
        <v>126</v>
      </c>
      <c r="D212" s="16" t="s">
        <v>31</v>
      </c>
      <c r="E212" s="17">
        <v>5.2</v>
      </c>
      <c r="F212" s="17"/>
      <c r="G212" s="59">
        <f t="shared" si="13"/>
        <v>0</v>
      </c>
    </row>
    <row r="213" spans="1:7" s="8" customFormat="1" ht="38.25">
      <c r="A213" s="15" t="s">
        <v>375</v>
      </c>
      <c r="B213" s="10" t="s">
        <v>494</v>
      </c>
      <c r="C213" s="11" t="s">
        <v>495</v>
      </c>
      <c r="D213" s="16" t="s">
        <v>31</v>
      </c>
      <c r="E213" s="17">
        <v>5.2</v>
      </c>
      <c r="F213" s="17"/>
      <c r="G213" s="59">
        <f t="shared" si="13"/>
        <v>0</v>
      </c>
    </row>
    <row r="214" spans="1:7" s="8" customFormat="1" ht="38.25">
      <c r="A214" s="15" t="s">
        <v>378</v>
      </c>
      <c r="B214" s="10" t="s">
        <v>496</v>
      </c>
      <c r="C214" s="11" t="s">
        <v>497</v>
      </c>
      <c r="D214" s="16" t="s">
        <v>52</v>
      </c>
      <c r="E214" s="17">
        <f>0.62+1.57+0.35+0.02+1.65+0.64</f>
        <v>4.8499999999999996</v>
      </c>
      <c r="F214" s="17"/>
      <c r="G214" s="59">
        <f t="shared" si="13"/>
        <v>0</v>
      </c>
    </row>
    <row r="215" spans="1:7" s="8" customFormat="1" ht="25.5">
      <c r="A215" s="15" t="s">
        <v>381</v>
      </c>
      <c r="B215" s="10" t="s">
        <v>397</v>
      </c>
      <c r="C215" s="11" t="s">
        <v>498</v>
      </c>
      <c r="D215" s="16" t="s">
        <v>31</v>
      </c>
      <c r="E215" s="17">
        <f>0.95*(0.79+1.37)+0.25*(0.2+3.74+0.26)</f>
        <v>3.1020000000000003</v>
      </c>
      <c r="F215" s="17"/>
      <c r="G215" s="59">
        <f t="shared" si="13"/>
        <v>0</v>
      </c>
    </row>
    <row r="216" spans="1:7" s="8" customFormat="1">
      <c r="A216" s="15" t="s">
        <v>384</v>
      </c>
      <c r="B216" s="10" t="s">
        <v>194</v>
      </c>
      <c r="C216" s="11" t="s">
        <v>499</v>
      </c>
      <c r="D216" s="16" t="s">
        <v>52</v>
      </c>
      <c r="E216" s="17">
        <f>3.5+0.15+0.2</f>
        <v>3.85</v>
      </c>
      <c r="F216" s="17"/>
      <c r="G216" s="59">
        <f t="shared" si="13"/>
        <v>0</v>
      </c>
    </row>
    <row r="217" spans="1:7" s="8" customFormat="1">
      <c r="A217" s="32" t="s">
        <v>401</v>
      </c>
      <c r="B217" s="106" t="s">
        <v>501</v>
      </c>
      <c r="C217" s="107"/>
      <c r="D217" s="107"/>
      <c r="E217" s="107"/>
      <c r="F217" s="108"/>
      <c r="G217" s="62">
        <f>SUM(G218:G224)</f>
        <v>0</v>
      </c>
    </row>
    <row r="218" spans="1:7" s="8" customFormat="1">
      <c r="A218" s="15" t="s">
        <v>402</v>
      </c>
      <c r="B218" s="10" t="s">
        <v>490</v>
      </c>
      <c r="C218" s="11" t="s">
        <v>503</v>
      </c>
      <c r="D218" s="16" t="s">
        <v>31</v>
      </c>
      <c r="E218" s="17">
        <v>3</v>
      </c>
      <c r="F218" s="17"/>
      <c r="G218" s="59">
        <f t="shared" ref="G218:G224" si="14">E218*F218</f>
        <v>0</v>
      </c>
    </row>
    <row r="219" spans="1:7" s="8" customFormat="1" ht="25.5">
      <c r="A219" s="15" t="s">
        <v>403</v>
      </c>
      <c r="B219" s="10" t="s">
        <v>505</v>
      </c>
      <c r="C219" s="11" t="s">
        <v>506</v>
      </c>
      <c r="D219" s="16" t="s">
        <v>11</v>
      </c>
      <c r="E219" s="17">
        <f>3*0.05</f>
        <v>0.15000000000000002</v>
      </c>
      <c r="F219" s="17"/>
      <c r="G219" s="59">
        <f t="shared" si="14"/>
        <v>0</v>
      </c>
    </row>
    <row r="220" spans="1:7" s="8" customFormat="1">
      <c r="A220" s="15" t="s">
        <v>404</v>
      </c>
      <c r="B220" s="10" t="s">
        <v>59</v>
      </c>
      <c r="C220" s="11" t="s">
        <v>508</v>
      </c>
      <c r="D220" s="16" t="s">
        <v>509</v>
      </c>
      <c r="E220" s="17">
        <v>1</v>
      </c>
      <c r="F220" s="17"/>
      <c r="G220" s="59">
        <f t="shared" si="14"/>
        <v>0</v>
      </c>
    </row>
    <row r="221" spans="1:7" s="8" customFormat="1" ht="25.5">
      <c r="A221" s="15" t="s">
        <v>405</v>
      </c>
      <c r="B221" s="10" t="s">
        <v>1451</v>
      </c>
      <c r="C221" s="11" t="s">
        <v>1450</v>
      </c>
      <c r="D221" s="16" t="s">
        <v>31</v>
      </c>
      <c r="E221" s="17">
        <v>3</v>
      </c>
      <c r="F221" s="17"/>
      <c r="G221" s="59">
        <f t="shared" si="14"/>
        <v>0</v>
      </c>
    </row>
    <row r="222" spans="1:7" s="8" customFormat="1" ht="38.25">
      <c r="A222" s="15" t="s">
        <v>406</v>
      </c>
      <c r="B222" s="10" t="s">
        <v>125</v>
      </c>
      <c r="C222" s="11" t="s">
        <v>126</v>
      </c>
      <c r="D222" s="16" t="s">
        <v>31</v>
      </c>
      <c r="E222" s="17">
        <v>3</v>
      </c>
      <c r="F222" s="17"/>
      <c r="G222" s="59">
        <f t="shared" si="14"/>
        <v>0</v>
      </c>
    </row>
    <row r="223" spans="1:7" s="8" customFormat="1" ht="38.25">
      <c r="A223" s="15" t="s">
        <v>409</v>
      </c>
      <c r="B223" s="10" t="s">
        <v>494</v>
      </c>
      <c r="C223" s="11" t="s">
        <v>495</v>
      </c>
      <c r="D223" s="16" t="s">
        <v>31</v>
      </c>
      <c r="E223" s="17">
        <v>3</v>
      </c>
      <c r="F223" s="17"/>
      <c r="G223" s="59">
        <f t="shared" si="14"/>
        <v>0</v>
      </c>
    </row>
    <row r="224" spans="1:7" s="8" customFormat="1" ht="38.25">
      <c r="A224" s="15" t="s">
        <v>412</v>
      </c>
      <c r="B224" s="10" t="s">
        <v>496</v>
      </c>
      <c r="C224" s="11" t="s">
        <v>497</v>
      </c>
      <c r="D224" s="16" t="s">
        <v>52</v>
      </c>
      <c r="E224" s="17">
        <v>1.5</v>
      </c>
      <c r="F224" s="17"/>
      <c r="G224" s="59">
        <f t="shared" si="14"/>
        <v>0</v>
      </c>
    </row>
    <row r="225" spans="1:7" s="6" customFormat="1">
      <c r="A225" s="33" t="s">
        <v>515</v>
      </c>
      <c r="B225" s="34"/>
      <c r="C225" s="47"/>
      <c r="D225" s="34"/>
      <c r="E225" s="34"/>
      <c r="F225" s="35"/>
      <c r="G225" s="60">
        <f>SUM(G226:G238)</f>
        <v>0</v>
      </c>
    </row>
    <row r="226" spans="1:7" s="8" customFormat="1" ht="38.25">
      <c r="A226" s="15" t="s">
        <v>1380</v>
      </c>
      <c r="B226" s="10" t="s">
        <v>1163</v>
      </c>
      <c r="C226" s="11" t="s">
        <v>1421</v>
      </c>
      <c r="D226" s="16" t="s">
        <v>509</v>
      </c>
      <c r="E226" s="17">
        <v>7</v>
      </c>
      <c r="F226" s="17"/>
      <c r="G226" s="59">
        <f t="shared" ref="G226:G238" si="15">E226*F226</f>
        <v>0</v>
      </c>
    </row>
    <row r="227" spans="1:7" s="8" customFormat="1" ht="25.5">
      <c r="A227" s="15" t="s">
        <v>1381</v>
      </c>
      <c r="B227" s="10" t="s">
        <v>1163</v>
      </c>
      <c r="C227" s="11" t="s">
        <v>1222</v>
      </c>
      <c r="D227" s="16" t="s">
        <v>450</v>
      </c>
      <c r="E227" s="17">
        <v>7</v>
      </c>
      <c r="F227" s="17"/>
      <c r="G227" s="59">
        <f t="shared" si="15"/>
        <v>0</v>
      </c>
    </row>
    <row r="228" spans="1:7" s="8" customFormat="1" ht="25.5">
      <c r="A228" s="15" t="s">
        <v>1382</v>
      </c>
      <c r="B228" s="10" t="s">
        <v>1422</v>
      </c>
      <c r="C228" s="11" t="s">
        <v>1427</v>
      </c>
      <c r="D228" s="16" t="s">
        <v>31</v>
      </c>
      <c r="E228" s="17">
        <f>381.2+112.5</f>
        <v>493.7</v>
      </c>
      <c r="F228" s="17"/>
      <c r="G228" s="59">
        <f t="shared" si="15"/>
        <v>0</v>
      </c>
    </row>
    <row r="229" spans="1:7" s="8" customFormat="1">
      <c r="A229" s="15" t="s">
        <v>1383</v>
      </c>
      <c r="B229" s="10" t="s">
        <v>59</v>
      </c>
      <c r="C229" s="11" t="s">
        <v>1469</v>
      </c>
      <c r="D229" s="16" t="s">
        <v>11</v>
      </c>
      <c r="E229" s="17">
        <v>227.1</v>
      </c>
      <c r="F229" s="17"/>
      <c r="G229" s="59">
        <f t="shared" si="15"/>
        <v>0</v>
      </c>
    </row>
    <row r="230" spans="1:7" s="8" customFormat="1" ht="25.5">
      <c r="A230" s="15" t="s">
        <v>1384</v>
      </c>
      <c r="B230" s="10" t="s">
        <v>516</v>
      </c>
      <c r="C230" s="11" t="s">
        <v>517</v>
      </c>
      <c r="D230" s="16" t="s">
        <v>52</v>
      </c>
      <c r="E230" s="17">
        <v>227</v>
      </c>
      <c r="F230" s="17"/>
      <c r="G230" s="59">
        <f t="shared" si="15"/>
        <v>0</v>
      </c>
    </row>
    <row r="231" spans="1:7" s="8" customFormat="1">
      <c r="A231" s="15" t="s">
        <v>1385</v>
      </c>
      <c r="B231" s="10" t="s">
        <v>362</v>
      </c>
      <c r="C231" s="11" t="s">
        <v>363</v>
      </c>
      <c r="D231" s="16" t="s">
        <v>11</v>
      </c>
      <c r="E231" s="17">
        <f>227*0.1</f>
        <v>22.700000000000003</v>
      </c>
      <c r="F231" s="17"/>
      <c r="G231" s="59">
        <f t="shared" si="15"/>
        <v>0</v>
      </c>
    </row>
    <row r="232" spans="1:7" s="8" customFormat="1" ht="25.5">
      <c r="A232" s="15" t="s">
        <v>1386</v>
      </c>
      <c r="B232" s="10" t="s">
        <v>364</v>
      </c>
      <c r="C232" s="11" t="s">
        <v>365</v>
      </c>
      <c r="D232" s="16" t="s">
        <v>52</v>
      </c>
      <c r="E232" s="17">
        <v>227</v>
      </c>
      <c r="F232" s="17"/>
      <c r="G232" s="59">
        <f t="shared" si="15"/>
        <v>0</v>
      </c>
    </row>
    <row r="233" spans="1:7" s="8" customFormat="1" ht="25.5">
      <c r="A233" s="15" t="s">
        <v>1387</v>
      </c>
      <c r="B233" s="10" t="s">
        <v>1424</v>
      </c>
      <c r="C233" s="11" t="s">
        <v>1423</v>
      </c>
      <c r="D233" s="16" t="s">
        <v>31</v>
      </c>
      <c r="E233" s="17">
        <v>493.7</v>
      </c>
      <c r="F233" s="17"/>
      <c r="G233" s="59">
        <f t="shared" si="15"/>
        <v>0</v>
      </c>
    </row>
    <row r="234" spans="1:7" s="8" customFormat="1" ht="25.5">
      <c r="A234" s="15" t="s">
        <v>1388</v>
      </c>
      <c r="B234" s="10" t="s">
        <v>1426</v>
      </c>
      <c r="C234" s="11" t="s">
        <v>1425</v>
      </c>
      <c r="D234" s="16" t="s">
        <v>31</v>
      </c>
      <c r="E234" s="17">
        <v>493.7</v>
      </c>
      <c r="F234" s="17"/>
      <c r="G234" s="59">
        <f t="shared" si="15"/>
        <v>0</v>
      </c>
    </row>
    <row r="235" spans="1:7" s="8" customFormat="1" ht="25.5">
      <c r="A235" s="15" t="s">
        <v>1389</v>
      </c>
      <c r="B235" s="10" t="s">
        <v>360</v>
      </c>
      <c r="C235" s="11" t="s">
        <v>518</v>
      </c>
      <c r="D235" s="16" t="s">
        <v>31</v>
      </c>
      <c r="E235" s="17">
        <v>381.2</v>
      </c>
      <c r="F235" s="17"/>
      <c r="G235" s="59">
        <f t="shared" si="15"/>
        <v>0</v>
      </c>
    </row>
    <row r="236" spans="1:7" s="8" customFormat="1" ht="25.5">
      <c r="A236" s="15" t="s">
        <v>1390</v>
      </c>
      <c r="B236" s="10" t="s">
        <v>360</v>
      </c>
      <c r="C236" s="11" t="s">
        <v>1224</v>
      </c>
      <c r="D236" s="16" t="s">
        <v>31</v>
      </c>
      <c r="E236" s="17">
        <v>112.5</v>
      </c>
      <c r="F236" s="17"/>
      <c r="G236" s="59">
        <f t="shared" si="15"/>
        <v>0</v>
      </c>
    </row>
    <row r="237" spans="1:7" s="8" customFormat="1">
      <c r="A237" s="15" t="s">
        <v>1391</v>
      </c>
      <c r="B237" s="10" t="s">
        <v>59</v>
      </c>
      <c r="C237" s="11" t="s">
        <v>1223</v>
      </c>
      <c r="D237" s="16" t="s">
        <v>197</v>
      </c>
      <c r="E237" s="17">
        <v>1</v>
      </c>
      <c r="F237" s="17"/>
      <c r="G237" s="59">
        <f t="shared" si="15"/>
        <v>0</v>
      </c>
    </row>
    <row r="238" spans="1:7" s="8" customFormat="1" ht="25.5">
      <c r="A238" s="15" t="s">
        <v>1392</v>
      </c>
      <c r="B238" s="10" t="s">
        <v>59</v>
      </c>
      <c r="C238" s="11" t="s">
        <v>519</v>
      </c>
      <c r="D238" s="16" t="s">
        <v>197</v>
      </c>
      <c r="E238" s="17">
        <v>1</v>
      </c>
      <c r="F238" s="17"/>
      <c r="G238" s="59">
        <f t="shared" si="15"/>
        <v>0</v>
      </c>
    </row>
    <row r="239" spans="1:7" s="6" customFormat="1">
      <c r="A239" s="33" t="s">
        <v>520</v>
      </c>
      <c r="B239" s="34"/>
      <c r="C239" s="47"/>
      <c r="D239" s="34"/>
      <c r="E239" s="34"/>
      <c r="F239" s="35"/>
      <c r="G239" s="60">
        <f>G240+G264</f>
        <v>0</v>
      </c>
    </row>
    <row r="240" spans="1:7" s="8" customFormat="1">
      <c r="A240" s="32" t="s">
        <v>521</v>
      </c>
      <c r="B240" s="28" t="s">
        <v>661</v>
      </c>
      <c r="C240" s="29"/>
      <c r="D240" s="30"/>
      <c r="E240" s="30"/>
      <c r="F240" s="31"/>
      <c r="G240" s="62">
        <f>G241+G255</f>
        <v>0</v>
      </c>
    </row>
    <row r="241" spans="1:7" s="8" customFormat="1">
      <c r="A241" s="18" t="s">
        <v>9</v>
      </c>
      <c r="B241" s="45" t="s">
        <v>547</v>
      </c>
      <c r="C241" s="19"/>
      <c r="D241" s="46"/>
      <c r="E241" s="46"/>
      <c r="F241" s="20"/>
      <c r="G241" s="64">
        <f>SUM(G242:G254)</f>
        <v>0</v>
      </c>
    </row>
    <row r="242" spans="1:7" s="8" customFormat="1" ht="25.5">
      <c r="A242" s="15" t="s">
        <v>524</v>
      </c>
      <c r="B242" s="10" t="s">
        <v>662</v>
      </c>
      <c r="C242" s="11" t="s">
        <v>663</v>
      </c>
      <c r="D242" s="16" t="s">
        <v>84</v>
      </c>
      <c r="E242" s="17">
        <v>8</v>
      </c>
      <c r="F242" s="17"/>
      <c r="G242" s="59">
        <f t="shared" ref="G242:G254" si="16">E242*F242</f>
        <v>0</v>
      </c>
    </row>
    <row r="243" spans="1:7" s="8" customFormat="1">
      <c r="A243" s="15" t="s">
        <v>527</v>
      </c>
      <c r="B243" s="10" t="s">
        <v>664</v>
      </c>
      <c r="C243" s="11" t="s">
        <v>665</v>
      </c>
      <c r="D243" s="16" t="s">
        <v>84</v>
      </c>
      <c r="E243" s="17">
        <v>29</v>
      </c>
      <c r="F243" s="17"/>
      <c r="G243" s="59">
        <f t="shared" si="16"/>
        <v>0</v>
      </c>
    </row>
    <row r="244" spans="1:7" s="8" customFormat="1">
      <c r="A244" s="15" t="s">
        <v>530</v>
      </c>
      <c r="B244" s="10" t="s">
        <v>664</v>
      </c>
      <c r="C244" s="11" t="s">
        <v>666</v>
      </c>
      <c r="D244" s="16" t="s">
        <v>84</v>
      </c>
      <c r="E244" s="17">
        <v>1</v>
      </c>
      <c r="F244" s="17"/>
      <c r="G244" s="59">
        <f t="shared" si="16"/>
        <v>0</v>
      </c>
    </row>
    <row r="245" spans="1:7" s="8" customFormat="1" ht="25.5">
      <c r="A245" s="15" t="s">
        <v>533</v>
      </c>
      <c r="B245" s="10" t="s">
        <v>667</v>
      </c>
      <c r="C245" s="11" t="s">
        <v>668</v>
      </c>
      <c r="D245" s="16" t="s">
        <v>669</v>
      </c>
      <c r="E245" s="17">
        <v>38.65</v>
      </c>
      <c r="F245" s="17"/>
      <c r="G245" s="59">
        <f t="shared" si="16"/>
        <v>0</v>
      </c>
    </row>
    <row r="246" spans="1:7" s="8" customFormat="1" ht="25.5">
      <c r="A246" s="15" t="s">
        <v>535</v>
      </c>
      <c r="B246" s="10" t="s">
        <v>670</v>
      </c>
      <c r="C246" s="11" t="s">
        <v>671</v>
      </c>
      <c r="D246" s="16" t="s">
        <v>31</v>
      </c>
      <c r="E246" s="17">
        <f>2*3.14*(0.1/2)*0.5*95</f>
        <v>14.915000000000003</v>
      </c>
      <c r="F246" s="17"/>
      <c r="G246" s="59">
        <f t="shared" si="16"/>
        <v>0</v>
      </c>
    </row>
    <row r="247" spans="1:7" s="8" customFormat="1" ht="25.5">
      <c r="A247" s="15" t="s">
        <v>538</v>
      </c>
      <c r="B247" s="10" t="s">
        <v>672</v>
      </c>
      <c r="C247" s="11" t="s">
        <v>673</v>
      </c>
      <c r="D247" s="16" t="s">
        <v>31</v>
      </c>
      <c r="E247" s="17">
        <f>2*3.14*(0.125/2)*0.5*30</f>
        <v>5.8875000000000002</v>
      </c>
      <c r="F247" s="17"/>
      <c r="G247" s="59">
        <f t="shared" si="16"/>
        <v>0</v>
      </c>
    </row>
    <row r="248" spans="1:7" s="8" customFormat="1" ht="25.5">
      <c r="A248" s="15" t="s">
        <v>541</v>
      </c>
      <c r="B248" s="10" t="s">
        <v>672</v>
      </c>
      <c r="C248" s="11" t="s">
        <v>674</v>
      </c>
      <c r="D248" s="16" t="s">
        <v>31</v>
      </c>
      <c r="E248" s="17">
        <f>2*3.14*(0.16/2)*0.5*3</f>
        <v>0.75360000000000005</v>
      </c>
      <c r="F248" s="17"/>
      <c r="G248" s="59">
        <f t="shared" si="16"/>
        <v>0</v>
      </c>
    </row>
    <row r="249" spans="1:7" s="8" customFormat="1" ht="25.5">
      <c r="A249" s="15" t="s">
        <v>544</v>
      </c>
      <c r="B249" s="10" t="s">
        <v>672</v>
      </c>
      <c r="C249" s="11" t="s">
        <v>675</v>
      </c>
      <c r="D249" s="16" t="s">
        <v>31</v>
      </c>
      <c r="E249" s="17">
        <f>2*3.14*(0.2/2)*0.5*2</f>
        <v>0.62800000000000011</v>
      </c>
      <c r="F249" s="17"/>
      <c r="G249" s="59">
        <f t="shared" si="16"/>
        <v>0</v>
      </c>
    </row>
    <row r="250" spans="1:7" s="8" customFormat="1" ht="38.25">
      <c r="A250" s="15" t="s">
        <v>545</v>
      </c>
      <c r="B250" s="10" t="s">
        <v>676</v>
      </c>
      <c r="C250" s="11" t="s">
        <v>1473</v>
      </c>
      <c r="D250" s="16" t="s">
        <v>84</v>
      </c>
      <c r="E250" s="17">
        <v>1</v>
      </c>
      <c r="F250" s="17"/>
      <c r="G250" s="59">
        <f t="shared" si="16"/>
        <v>0</v>
      </c>
    </row>
    <row r="251" spans="1:7" s="8" customFormat="1" ht="38.25">
      <c r="A251" s="15" t="s">
        <v>546</v>
      </c>
      <c r="B251" s="10" t="s">
        <v>676</v>
      </c>
      <c r="C251" s="11" t="s">
        <v>1472</v>
      </c>
      <c r="D251" s="16" t="s">
        <v>84</v>
      </c>
      <c r="E251" s="17">
        <v>1</v>
      </c>
      <c r="F251" s="17"/>
      <c r="G251" s="59">
        <f t="shared" si="16"/>
        <v>0</v>
      </c>
    </row>
    <row r="252" spans="1:7" s="8" customFormat="1" ht="38.25">
      <c r="A252" s="15" t="s">
        <v>1227</v>
      </c>
      <c r="B252" s="10" t="s">
        <v>676</v>
      </c>
      <c r="C252" s="11" t="s">
        <v>1470</v>
      </c>
      <c r="D252" s="16" t="s">
        <v>84</v>
      </c>
      <c r="E252" s="17">
        <v>1</v>
      </c>
      <c r="F252" s="17"/>
      <c r="G252" s="59">
        <f t="shared" si="16"/>
        <v>0</v>
      </c>
    </row>
    <row r="253" spans="1:7" s="8" customFormat="1" ht="38.25">
      <c r="A253" s="15" t="s">
        <v>1228</v>
      </c>
      <c r="B253" s="10" t="s">
        <v>676</v>
      </c>
      <c r="C253" s="11" t="s">
        <v>1471</v>
      </c>
      <c r="D253" s="16" t="s">
        <v>84</v>
      </c>
      <c r="E253" s="17">
        <v>1</v>
      </c>
      <c r="F253" s="17"/>
      <c r="G253" s="59">
        <f t="shared" si="16"/>
        <v>0</v>
      </c>
    </row>
    <row r="254" spans="1:7" s="8" customFormat="1" ht="25.5">
      <c r="A254" s="15" t="s">
        <v>1229</v>
      </c>
      <c r="B254" s="10" t="s">
        <v>680</v>
      </c>
      <c r="C254" s="11" t="s">
        <v>681</v>
      </c>
      <c r="D254" s="16" t="s">
        <v>84</v>
      </c>
      <c r="E254" s="17">
        <v>53</v>
      </c>
      <c r="F254" s="17"/>
      <c r="G254" s="59">
        <f t="shared" si="16"/>
        <v>0</v>
      </c>
    </row>
    <row r="255" spans="1:7" s="8" customFormat="1">
      <c r="A255" s="18" t="s">
        <v>12</v>
      </c>
      <c r="B255" s="45" t="s">
        <v>630</v>
      </c>
      <c r="C255" s="19"/>
      <c r="D255" s="46"/>
      <c r="E255" s="46"/>
      <c r="F255" s="20"/>
      <c r="G255" s="64">
        <f>SUM(G256:G263)</f>
        <v>0</v>
      </c>
    </row>
    <row r="256" spans="1:7" s="8" customFormat="1" ht="38.25">
      <c r="A256" s="15" t="s">
        <v>548</v>
      </c>
      <c r="B256" s="10" t="s">
        <v>682</v>
      </c>
      <c r="C256" s="11" t="s">
        <v>683</v>
      </c>
      <c r="D256" s="16" t="s">
        <v>684</v>
      </c>
      <c r="E256" s="17">
        <f>1+12+10</f>
        <v>23</v>
      </c>
      <c r="F256" s="17"/>
      <c r="G256" s="59">
        <f t="shared" ref="G256:G263" si="17">E256*F256</f>
        <v>0</v>
      </c>
    </row>
    <row r="257" spans="1:7" s="8" customFormat="1" ht="38.25">
      <c r="A257" s="15" t="s">
        <v>551</v>
      </c>
      <c r="B257" s="10" t="s">
        <v>685</v>
      </c>
      <c r="C257" s="11" t="s">
        <v>686</v>
      </c>
      <c r="D257" s="16" t="s">
        <v>684</v>
      </c>
      <c r="E257" s="17">
        <v>2</v>
      </c>
      <c r="F257" s="17"/>
      <c r="G257" s="59">
        <f t="shared" si="17"/>
        <v>0</v>
      </c>
    </row>
    <row r="258" spans="1:7" s="8" customFormat="1" ht="38.25">
      <c r="A258" s="15" t="s">
        <v>554</v>
      </c>
      <c r="B258" s="10" t="s">
        <v>687</v>
      </c>
      <c r="C258" s="11" t="s">
        <v>688</v>
      </c>
      <c r="D258" s="16" t="s">
        <v>684</v>
      </c>
      <c r="E258" s="17">
        <f>1+1</f>
        <v>2</v>
      </c>
      <c r="F258" s="17"/>
      <c r="G258" s="59">
        <f t="shared" si="17"/>
        <v>0</v>
      </c>
    </row>
    <row r="259" spans="1:7" s="8" customFormat="1" ht="38.25">
      <c r="A259" s="15" t="s">
        <v>557</v>
      </c>
      <c r="B259" s="10" t="s">
        <v>689</v>
      </c>
      <c r="C259" s="11" t="s">
        <v>690</v>
      </c>
      <c r="D259" s="16" t="s">
        <v>684</v>
      </c>
      <c r="E259" s="17">
        <v>11</v>
      </c>
      <c r="F259" s="17"/>
      <c r="G259" s="59">
        <f t="shared" si="17"/>
        <v>0</v>
      </c>
    </row>
    <row r="260" spans="1:7" s="8" customFormat="1" ht="51">
      <c r="A260" s="15" t="s">
        <v>560</v>
      </c>
      <c r="B260" s="10" t="s">
        <v>691</v>
      </c>
      <c r="C260" s="11" t="s">
        <v>692</v>
      </c>
      <c r="D260" s="16" t="s">
        <v>31</v>
      </c>
      <c r="E260" s="17">
        <f>(23+2+2)*2*1</f>
        <v>54</v>
      </c>
      <c r="F260" s="17"/>
      <c r="G260" s="59">
        <f t="shared" si="17"/>
        <v>0</v>
      </c>
    </row>
    <row r="261" spans="1:7" s="8" customFormat="1" ht="51">
      <c r="A261" s="15" t="s">
        <v>563</v>
      </c>
      <c r="B261" s="10" t="s">
        <v>693</v>
      </c>
      <c r="C261" s="11" t="s">
        <v>694</v>
      </c>
      <c r="D261" s="16" t="s">
        <v>31</v>
      </c>
      <c r="E261" s="17">
        <f>11*1</f>
        <v>11</v>
      </c>
      <c r="F261" s="17"/>
      <c r="G261" s="59">
        <f t="shared" si="17"/>
        <v>0</v>
      </c>
    </row>
    <row r="262" spans="1:7" s="8" customFormat="1" ht="25.5">
      <c r="A262" s="15" t="s">
        <v>566</v>
      </c>
      <c r="B262" s="10" t="s">
        <v>74</v>
      </c>
      <c r="C262" s="11" t="s">
        <v>695</v>
      </c>
      <c r="D262" s="16" t="s">
        <v>31</v>
      </c>
      <c r="E262" s="17">
        <f>57.5+8.5</f>
        <v>66</v>
      </c>
      <c r="F262" s="17"/>
      <c r="G262" s="59">
        <f t="shared" si="17"/>
        <v>0</v>
      </c>
    </row>
    <row r="263" spans="1:7" s="8" customFormat="1" ht="25.5">
      <c r="A263" s="15" t="s">
        <v>569</v>
      </c>
      <c r="B263" s="10" t="s">
        <v>75</v>
      </c>
      <c r="C263" s="11" t="s">
        <v>76</v>
      </c>
      <c r="D263" s="16" t="s">
        <v>31</v>
      </c>
      <c r="E263" s="17">
        <f>57.5+8.5</f>
        <v>66</v>
      </c>
      <c r="F263" s="17"/>
      <c r="G263" s="59">
        <f t="shared" si="17"/>
        <v>0</v>
      </c>
    </row>
    <row r="264" spans="1:7" s="8" customFormat="1">
      <c r="A264" s="32" t="s">
        <v>77</v>
      </c>
      <c r="B264" s="106" t="s">
        <v>696</v>
      </c>
      <c r="C264" s="107"/>
      <c r="D264" s="107"/>
      <c r="E264" s="107"/>
      <c r="F264" s="108"/>
      <c r="G264" s="62">
        <f>G265+G278+G336</f>
        <v>0</v>
      </c>
    </row>
    <row r="265" spans="1:7" s="8" customFormat="1">
      <c r="A265" s="18" t="s">
        <v>79</v>
      </c>
      <c r="B265" s="102" t="s">
        <v>523</v>
      </c>
      <c r="C265" s="103"/>
      <c r="D265" s="103"/>
      <c r="E265" s="103"/>
      <c r="F265" s="104"/>
      <c r="G265" s="64">
        <f>SUM(G266:G277)</f>
        <v>0</v>
      </c>
    </row>
    <row r="266" spans="1:7" s="8" customFormat="1" ht="25.5">
      <c r="A266" s="15" t="s">
        <v>81</v>
      </c>
      <c r="B266" s="10" t="s">
        <v>697</v>
      </c>
      <c r="C266" s="11" t="s">
        <v>698</v>
      </c>
      <c r="D266" s="16" t="s">
        <v>52</v>
      </c>
      <c r="E266" s="17">
        <f>54+134</f>
        <v>188</v>
      </c>
      <c r="F266" s="17"/>
      <c r="G266" s="59">
        <f t="shared" ref="G266:G277" si="18">E266*F266</f>
        <v>0</v>
      </c>
    </row>
    <row r="267" spans="1:7" s="8" customFormat="1" ht="25.5">
      <c r="A267" s="15" t="s">
        <v>85</v>
      </c>
      <c r="B267" s="10" t="s">
        <v>699</v>
      </c>
      <c r="C267" s="11" t="s">
        <v>700</v>
      </c>
      <c r="D267" s="16" t="s">
        <v>52</v>
      </c>
      <c r="E267" s="17">
        <f>17+18+18+6</f>
        <v>59</v>
      </c>
      <c r="F267" s="17"/>
      <c r="G267" s="59">
        <f t="shared" si="18"/>
        <v>0</v>
      </c>
    </row>
    <row r="268" spans="1:7" s="8" customFormat="1" ht="25.5">
      <c r="A268" s="15" t="s">
        <v>88</v>
      </c>
      <c r="B268" s="10" t="s">
        <v>701</v>
      </c>
      <c r="C268" s="11" t="s">
        <v>702</v>
      </c>
      <c r="D268" s="16" t="s">
        <v>52</v>
      </c>
      <c r="E268" s="17">
        <f>40+23+49</f>
        <v>112</v>
      </c>
      <c r="F268" s="17"/>
      <c r="G268" s="59">
        <f t="shared" si="18"/>
        <v>0</v>
      </c>
    </row>
    <row r="269" spans="1:7" s="8" customFormat="1">
      <c r="A269" s="15" t="s">
        <v>91</v>
      </c>
      <c r="B269" s="10" t="s">
        <v>703</v>
      </c>
      <c r="C269" s="11" t="s">
        <v>704</v>
      </c>
      <c r="D269" s="16" t="s">
        <v>509</v>
      </c>
      <c r="E269" s="17">
        <f>5+7</f>
        <v>12</v>
      </c>
      <c r="F269" s="17"/>
      <c r="G269" s="59">
        <f t="shared" si="18"/>
        <v>0</v>
      </c>
    </row>
    <row r="270" spans="1:7" s="8" customFormat="1">
      <c r="A270" s="15" t="s">
        <v>94</v>
      </c>
      <c r="B270" s="10" t="s">
        <v>705</v>
      </c>
      <c r="C270" s="11" t="s">
        <v>706</v>
      </c>
      <c r="D270" s="16" t="s">
        <v>52</v>
      </c>
      <c r="E270" s="17">
        <v>23</v>
      </c>
      <c r="F270" s="17"/>
      <c r="G270" s="59">
        <f t="shared" si="18"/>
        <v>0</v>
      </c>
    </row>
    <row r="271" spans="1:7" s="8" customFormat="1">
      <c r="A271" s="15" t="s">
        <v>97</v>
      </c>
      <c r="B271" s="10" t="s">
        <v>707</v>
      </c>
      <c r="C271" s="11" t="s">
        <v>708</v>
      </c>
      <c r="D271" s="16" t="s">
        <v>52</v>
      </c>
      <c r="E271" s="17">
        <f>47+40</f>
        <v>87</v>
      </c>
      <c r="F271" s="17"/>
      <c r="G271" s="59">
        <f t="shared" si="18"/>
        <v>0</v>
      </c>
    </row>
    <row r="272" spans="1:7" s="8" customFormat="1">
      <c r="A272" s="15" t="s">
        <v>100</v>
      </c>
      <c r="B272" s="10" t="s">
        <v>709</v>
      </c>
      <c r="C272" s="11" t="s">
        <v>710</v>
      </c>
      <c r="D272" s="16" t="s">
        <v>52</v>
      </c>
      <c r="E272" s="17">
        <v>11</v>
      </c>
      <c r="F272" s="17"/>
      <c r="G272" s="59">
        <f t="shared" si="18"/>
        <v>0</v>
      </c>
    </row>
    <row r="273" spans="1:7" s="8" customFormat="1" ht="25.5">
      <c r="A273" s="15" t="s">
        <v>102</v>
      </c>
      <c r="B273" s="10" t="s">
        <v>711</v>
      </c>
      <c r="C273" s="11" t="s">
        <v>712</v>
      </c>
      <c r="D273" s="16" t="s">
        <v>197</v>
      </c>
      <c r="E273" s="17">
        <v>5</v>
      </c>
      <c r="F273" s="17"/>
      <c r="G273" s="59">
        <f t="shared" si="18"/>
        <v>0</v>
      </c>
    </row>
    <row r="274" spans="1:7" s="8" customFormat="1">
      <c r="A274" s="15" t="s">
        <v>103</v>
      </c>
      <c r="B274" s="10" t="s">
        <v>713</v>
      </c>
      <c r="C274" s="11" t="s">
        <v>714</v>
      </c>
      <c r="D274" s="16" t="s">
        <v>197</v>
      </c>
      <c r="E274" s="17">
        <v>7</v>
      </c>
      <c r="F274" s="17"/>
      <c r="G274" s="59">
        <f t="shared" si="18"/>
        <v>0</v>
      </c>
    </row>
    <row r="275" spans="1:7" s="8" customFormat="1">
      <c r="A275" s="15" t="s">
        <v>677</v>
      </c>
      <c r="B275" s="10" t="s">
        <v>715</v>
      </c>
      <c r="C275" s="11" t="s">
        <v>716</v>
      </c>
      <c r="D275" s="16" t="s">
        <v>197</v>
      </c>
      <c r="E275" s="17">
        <v>6</v>
      </c>
      <c r="F275" s="17"/>
      <c r="G275" s="59">
        <f t="shared" si="18"/>
        <v>0</v>
      </c>
    </row>
    <row r="276" spans="1:7" s="8" customFormat="1">
      <c r="A276" s="15" t="s">
        <v>678</v>
      </c>
      <c r="B276" s="10" t="s">
        <v>717</v>
      </c>
      <c r="C276" s="11" t="s">
        <v>718</v>
      </c>
      <c r="D276" s="16" t="s">
        <v>197</v>
      </c>
      <c r="E276" s="17">
        <v>2</v>
      </c>
      <c r="F276" s="17"/>
      <c r="G276" s="59">
        <f t="shared" si="18"/>
        <v>0</v>
      </c>
    </row>
    <row r="277" spans="1:7" s="8" customFormat="1">
      <c r="A277" s="15" t="s">
        <v>679</v>
      </c>
      <c r="B277" s="10" t="s">
        <v>59</v>
      </c>
      <c r="C277" s="11" t="s">
        <v>1468</v>
      </c>
      <c r="D277" s="16" t="s">
        <v>11</v>
      </c>
      <c r="E277" s="17">
        <v>7</v>
      </c>
      <c r="F277" s="17"/>
      <c r="G277" s="59">
        <f t="shared" si="18"/>
        <v>0</v>
      </c>
    </row>
    <row r="278" spans="1:7" s="8" customFormat="1">
      <c r="A278" s="18" t="s">
        <v>104</v>
      </c>
      <c r="B278" s="45" t="s">
        <v>547</v>
      </c>
      <c r="C278" s="19"/>
      <c r="D278" s="46"/>
      <c r="E278" s="46"/>
      <c r="F278" s="20"/>
      <c r="G278" s="64">
        <f>SUM(G279:G335)</f>
        <v>0</v>
      </c>
    </row>
    <row r="279" spans="1:7" s="8" customFormat="1">
      <c r="A279" s="15" t="s">
        <v>106</v>
      </c>
      <c r="B279" s="10" t="s">
        <v>719</v>
      </c>
      <c r="C279" s="11" t="s">
        <v>720</v>
      </c>
      <c r="D279" s="16" t="s">
        <v>52</v>
      </c>
      <c r="E279" s="17">
        <v>54</v>
      </c>
      <c r="F279" s="17"/>
      <c r="G279" s="59">
        <f t="shared" ref="G279:G310" si="19">E279*F279</f>
        <v>0</v>
      </c>
    </row>
    <row r="280" spans="1:7" s="8" customFormat="1">
      <c r="A280" s="15" t="s">
        <v>109</v>
      </c>
      <c r="B280" s="10" t="s">
        <v>721</v>
      </c>
      <c r="C280" s="11" t="s">
        <v>722</v>
      </c>
      <c r="D280" s="16" t="s">
        <v>52</v>
      </c>
      <c r="E280" s="17">
        <v>17</v>
      </c>
      <c r="F280" s="17"/>
      <c r="G280" s="59">
        <f t="shared" si="19"/>
        <v>0</v>
      </c>
    </row>
    <row r="281" spans="1:7" s="8" customFormat="1">
      <c r="A281" s="15" t="s">
        <v>110</v>
      </c>
      <c r="B281" s="10" t="s">
        <v>723</v>
      </c>
      <c r="C281" s="11" t="s">
        <v>724</v>
      </c>
      <c r="D281" s="16" t="s">
        <v>52</v>
      </c>
      <c r="E281" s="17">
        <v>18</v>
      </c>
      <c r="F281" s="17"/>
      <c r="G281" s="59">
        <f t="shared" si="19"/>
        <v>0</v>
      </c>
    </row>
    <row r="282" spans="1:7" s="8" customFormat="1">
      <c r="A282" s="15" t="s">
        <v>111</v>
      </c>
      <c r="B282" s="10" t="s">
        <v>725</v>
      </c>
      <c r="C282" s="11" t="s">
        <v>726</v>
      </c>
      <c r="D282" s="16" t="s">
        <v>52</v>
      </c>
      <c r="E282" s="17">
        <v>40</v>
      </c>
      <c r="F282" s="17"/>
      <c r="G282" s="59">
        <f t="shared" si="19"/>
        <v>0</v>
      </c>
    </row>
    <row r="283" spans="1:7" s="8" customFormat="1">
      <c r="A283" s="15" t="s">
        <v>112</v>
      </c>
      <c r="B283" s="10" t="s">
        <v>727</v>
      </c>
      <c r="C283" s="11" t="s">
        <v>728</v>
      </c>
      <c r="D283" s="16" t="s">
        <v>52</v>
      </c>
      <c r="E283" s="17">
        <v>23</v>
      </c>
      <c r="F283" s="17"/>
      <c r="G283" s="59">
        <f t="shared" si="19"/>
        <v>0</v>
      </c>
    </row>
    <row r="284" spans="1:7" s="8" customFormat="1">
      <c r="A284" s="15" t="s">
        <v>113</v>
      </c>
      <c r="B284" s="10" t="s">
        <v>719</v>
      </c>
      <c r="C284" s="11" t="s">
        <v>729</v>
      </c>
      <c r="D284" s="16" t="s">
        <v>52</v>
      </c>
      <c r="E284" s="17">
        <v>134</v>
      </c>
      <c r="F284" s="17"/>
      <c r="G284" s="59">
        <f t="shared" si="19"/>
        <v>0</v>
      </c>
    </row>
    <row r="285" spans="1:7" s="8" customFormat="1">
      <c r="A285" s="15" t="s">
        <v>114</v>
      </c>
      <c r="B285" s="10" t="s">
        <v>721</v>
      </c>
      <c r="C285" s="11" t="s">
        <v>730</v>
      </c>
      <c r="D285" s="16" t="s">
        <v>52</v>
      </c>
      <c r="E285" s="17">
        <v>18</v>
      </c>
      <c r="F285" s="17"/>
      <c r="G285" s="59">
        <f t="shared" si="19"/>
        <v>0</v>
      </c>
    </row>
    <row r="286" spans="1:7" s="8" customFormat="1">
      <c r="A286" s="15" t="s">
        <v>115</v>
      </c>
      <c r="B286" s="10" t="s">
        <v>723</v>
      </c>
      <c r="C286" s="11" t="s">
        <v>731</v>
      </c>
      <c r="D286" s="16" t="s">
        <v>52</v>
      </c>
      <c r="E286" s="17">
        <v>6</v>
      </c>
      <c r="F286" s="17"/>
      <c r="G286" s="59">
        <f t="shared" si="19"/>
        <v>0</v>
      </c>
    </row>
    <row r="287" spans="1:7" s="8" customFormat="1">
      <c r="A287" s="15" t="s">
        <v>1171</v>
      </c>
      <c r="B287" s="10" t="s">
        <v>725</v>
      </c>
      <c r="C287" s="11" t="s">
        <v>732</v>
      </c>
      <c r="D287" s="16" t="s">
        <v>52</v>
      </c>
      <c r="E287" s="17">
        <v>49</v>
      </c>
      <c r="F287" s="17"/>
      <c r="G287" s="59">
        <f t="shared" si="19"/>
        <v>0</v>
      </c>
    </row>
    <row r="288" spans="1:7" s="8" customFormat="1" ht="25.5">
      <c r="A288" s="15" t="s">
        <v>116</v>
      </c>
      <c r="B288" s="10" t="s">
        <v>733</v>
      </c>
      <c r="C288" s="11" t="s">
        <v>734</v>
      </c>
      <c r="D288" s="16" t="s">
        <v>52</v>
      </c>
      <c r="E288" s="17">
        <f>54+17+18+40+23+134+18+6+49</f>
        <v>359</v>
      </c>
      <c r="F288" s="17"/>
      <c r="G288" s="59">
        <f t="shared" si="19"/>
        <v>0</v>
      </c>
    </row>
    <row r="289" spans="1:7" s="8" customFormat="1" ht="25.5">
      <c r="A289" s="15" t="s">
        <v>1172</v>
      </c>
      <c r="B289" s="10" t="s">
        <v>735</v>
      </c>
      <c r="C289" s="11" t="s">
        <v>736</v>
      </c>
      <c r="D289" s="16" t="s">
        <v>737</v>
      </c>
      <c r="E289" s="17">
        <v>1</v>
      </c>
      <c r="F289" s="17"/>
      <c r="G289" s="59">
        <f t="shared" si="19"/>
        <v>0</v>
      </c>
    </row>
    <row r="290" spans="1:7" s="8" customFormat="1" ht="38.25">
      <c r="A290" s="15" t="s">
        <v>1173</v>
      </c>
      <c r="B290" s="10" t="s">
        <v>738</v>
      </c>
      <c r="C290" s="11" t="s">
        <v>739</v>
      </c>
      <c r="D290" s="16" t="s">
        <v>52</v>
      </c>
      <c r="E290" s="17">
        <f>54+17+18+40+23+134+18+6+49</f>
        <v>359</v>
      </c>
      <c r="F290" s="17"/>
      <c r="G290" s="59">
        <f t="shared" si="19"/>
        <v>0</v>
      </c>
    </row>
    <row r="291" spans="1:7" s="8" customFormat="1">
      <c r="A291" s="15" t="s">
        <v>1220</v>
      </c>
      <c r="B291" s="10" t="s">
        <v>740</v>
      </c>
      <c r="C291" s="11" t="s">
        <v>741</v>
      </c>
      <c r="D291" s="16" t="s">
        <v>84</v>
      </c>
      <c r="E291" s="17">
        <v>38</v>
      </c>
      <c r="F291" s="17"/>
      <c r="G291" s="59">
        <f t="shared" si="19"/>
        <v>0</v>
      </c>
    </row>
    <row r="292" spans="1:7" s="8" customFormat="1">
      <c r="A292" s="15" t="s">
        <v>1221</v>
      </c>
      <c r="B292" s="10" t="s">
        <v>740</v>
      </c>
      <c r="C292" s="11" t="s">
        <v>583</v>
      </c>
      <c r="D292" s="16" t="s">
        <v>84</v>
      </c>
      <c r="E292" s="17">
        <v>18</v>
      </c>
      <c r="F292" s="17"/>
      <c r="G292" s="59">
        <f t="shared" si="19"/>
        <v>0</v>
      </c>
    </row>
    <row r="293" spans="1:7" s="8" customFormat="1">
      <c r="A293" s="15" t="s">
        <v>1230</v>
      </c>
      <c r="B293" s="10" t="s">
        <v>742</v>
      </c>
      <c r="C293" s="11" t="s">
        <v>743</v>
      </c>
      <c r="D293" s="16" t="s">
        <v>84</v>
      </c>
      <c r="E293" s="17">
        <v>1</v>
      </c>
      <c r="F293" s="17"/>
      <c r="G293" s="59">
        <f t="shared" si="19"/>
        <v>0</v>
      </c>
    </row>
    <row r="294" spans="1:7" s="8" customFormat="1">
      <c r="A294" s="15" t="s">
        <v>1231</v>
      </c>
      <c r="B294" s="10" t="s">
        <v>744</v>
      </c>
      <c r="C294" s="11" t="s">
        <v>745</v>
      </c>
      <c r="D294" s="16" t="s">
        <v>84</v>
      </c>
      <c r="E294" s="17">
        <v>3</v>
      </c>
      <c r="F294" s="17"/>
      <c r="G294" s="59">
        <f t="shared" si="19"/>
        <v>0</v>
      </c>
    </row>
    <row r="295" spans="1:7" s="8" customFormat="1">
      <c r="A295" s="15" t="s">
        <v>1232</v>
      </c>
      <c r="B295" s="10" t="s">
        <v>746</v>
      </c>
      <c r="C295" s="11" t="s">
        <v>747</v>
      </c>
      <c r="D295" s="16" t="s">
        <v>84</v>
      </c>
      <c r="E295" s="17">
        <v>1</v>
      </c>
      <c r="F295" s="17"/>
      <c r="G295" s="59">
        <f t="shared" si="19"/>
        <v>0</v>
      </c>
    </row>
    <row r="296" spans="1:7" s="8" customFormat="1" ht="25.5">
      <c r="A296" s="15" t="s">
        <v>1233</v>
      </c>
      <c r="B296" s="10" t="s">
        <v>748</v>
      </c>
      <c r="C296" s="11" t="s">
        <v>749</v>
      </c>
      <c r="D296" s="16" t="s">
        <v>84</v>
      </c>
      <c r="E296" s="17">
        <v>4</v>
      </c>
      <c r="F296" s="17"/>
      <c r="G296" s="59">
        <f t="shared" si="19"/>
        <v>0</v>
      </c>
    </row>
    <row r="297" spans="1:7" s="8" customFormat="1">
      <c r="A297" s="15" t="s">
        <v>1234</v>
      </c>
      <c r="B297" s="10" t="s">
        <v>740</v>
      </c>
      <c r="C297" s="11" t="s">
        <v>750</v>
      </c>
      <c r="D297" s="16" t="s">
        <v>84</v>
      </c>
      <c r="E297" s="17">
        <v>4</v>
      </c>
      <c r="F297" s="17"/>
      <c r="G297" s="59">
        <f t="shared" si="19"/>
        <v>0</v>
      </c>
    </row>
    <row r="298" spans="1:7" s="8" customFormat="1" ht="25.5">
      <c r="A298" s="15" t="s">
        <v>1235</v>
      </c>
      <c r="B298" s="10" t="s">
        <v>751</v>
      </c>
      <c r="C298" s="11" t="s">
        <v>752</v>
      </c>
      <c r="D298" s="16" t="s">
        <v>52</v>
      </c>
      <c r="E298" s="17">
        <v>54</v>
      </c>
      <c r="F298" s="17"/>
      <c r="G298" s="59">
        <f t="shared" si="19"/>
        <v>0</v>
      </c>
    </row>
    <row r="299" spans="1:7" s="8" customFormat="1" ht="25.5">
      <c r="A299" s="15" t="s">
        <v>1236</v>
      </c>
      <c r="B299" s="10" t="s">
        <v>753</v>
      </c>
      <c r="C299" s="11" t="s">
        <v>754</v>
      </c>
      <c r="D299" s="16" t="s">
        <v>52</v>
      </c>
      <c r="E299" s="17">
        <v>135</v>
      </c>
      <c r="F299" s="17"/>
      <c r="G299" s="59">
        <f t="shared" si="19"/>
        <v>0</v>
      </c>
    </row>
    <row r="300" spans="1:7" s="8" customFormat="1" ht="25.5">
      <c r="A300" s="15" t="s">
        <v>1237</v>
      </c>
      <c r="B300" s="10" t="s">
        <v>756</v>
      </c>
      <c r="C300" s="11" t="s">
        <v>757</v>
      </c>
      <c r="D300" s="16" t="s">
        <v>52</v>
      </c>
      <c r="E300" s="17">
        <v>17</v>
      </c>
      <c r="F300" s="17"/>
      <c r="G300" s="59">
        <f t="shared" si="19"/>
        <v>0</v>
      </c>
    </row>
    <row r="301" spans="1:7" s="8" customFormat="1" ht="25.5">
      <c r="A301" s="15" t="s">
        <v>1238</v>
      </c>
      <c r="B301" s="10" t="s">
        <v>758</v>
      </c>
      <c r="C301" s="11" t="s">
        <v>759</v>
      </c>
      <c r="D301" s="16" t="s">
        <v>52</v>
      </c>
      <c r="E301" s="17">
        <v>18</v>
      </c>
      <c r="F301" s="17"/>
      <c r="G301" s="59">
        <f t="shared" si="19"/>
        <v>0</v>
      </c>
    </row>
    <row r="302" spans="1:7" s="8" customFormat="1" ht="25.5">
      <c r="A302" s="15" t="s">
        <v>1239</v>
      </c>
      <c r="B302" s="10" t="s">
        <v>756</v>
      </c>
      <c r="C302" s="11" t="s">
        <v>760</v>
      </c>
      <c r="D302" s="16" t="s">
        <v>52</v>
      </c>
      <c r="E302" s="17">
        <v>19</v>
      </c>
      <c r="F302" s="17"/>
      <c r="G302" s="59">
        <f t="shared" si="19"/>
        <v>0</v>
      </c>
    </row>
    <row r="303" spans="1:7" s="8" customFormat="1" ht="25.5">
      <c r="A303" s="15" t="s">
        <v>1240</v>
      </c>
      <c r="B303" s="10" t="s">
        <v>758</v>
      </c>
      <c r="C303" s="11" t="s">
        <v>761</v>
      </c>
      <c r="D303" s="16" t="s">
        <v>52</v>
      </c>
      <c r="E303" s="17">
        <v>6</v>
      </c>
      <c r="F303" s="17"/>
      <c r="G303" s="59">
        <f t="shared" si="19"/>
        <v>0</v>
      </c>
    </row>
    <row r="304" spans="1:7" s="8" customFormat="1" ht="25.5">
      <c r="A304" s="15" t="s">
        <v>1241</v>
      </c>
      <c r="B304" s="10" t="s">
        <v>756</v>
      </c>
      <c r="C304" s="11" t="s">
        <v>762</v>
      </c>
      <c r="D304" s="16" t="s">
        <v>52</v>
      </c>
      <c r="E304" s="17">
        <v>40</v>
      </c>
      <c r="F304" s="17"/>
      <c r="G304" s="59">
        <f t="shared" si="19"/>
        <v>0</v>
      </c>
    </row>
    <row r="305" spans="1:7" s="8" customFormat="1" ht="25.5">
      <c r="A305" s="15" t="s">
        <v>1242</v>
      </c>
      <c r="B305" s="10" t="s">
        <v>763</v>
      </c>
      <c r="C305" s="11" t="s">
        <v>764</v>
      </c>
      <c r="D305" s="16" t="s">
        <v>52</v>
      </c>
      <c r="E305" s="17">
        <v>49</v>
      </c>
      <c r="F305" s="17"/>
      <c r="G305" s="59">
        <f t="shared" si="19"/>
        <v>0</v>
      </c>
    </row>
    <row r="306" spans="1:7" s="8" customFormat="1" ht="25.5">
      <c r="A306" s="15" t="s">
        <v>1243</v>
      </c>
      <c r="B306" s="10" t="s">
        <v>765</v>
      </c>
      <c r="C306" s="11" t="s">
        <v>766</v>
      </c>
      <c r="D306" s="16" t="s">
        <v>52</v>
      </c>
      <c r="E306" s="17">
        <v>23</v>
      </c>
      <c r="F306" s="17"/>
      <c r="G306" s="59">
        <f t="shared" si="19"/>
        <v>0</v>
      </c>
    </row>
    <row r="307" spans="1:7" s="8" customFormat="1">
      <c r="A307" s="15" t="s">
        <v>1244</v>
      </c>
      <c r="B307" s="10" t="s">
        <v>767</v>
      </c>
      <c r="C307" s="11" t="s">
        <v>768</v>
      </c>
      <c r="D307" s="16" t="s">
        <v>84</v>
      </c>
      <c r="E307" s="17">
        <v>5</v>
      </c>
      <c r="F307" s="17"/>
      <c r="G307" s="59">
        <f t="shared" si="19"/>
        <v>0</v>
      </c>
    </row>
    <row r="308" spans="1:7" s="8" customFormat="1" ht="25.5">
      <c r="A308" s="15" t="s">
        <v>1245</v>
      </c>
      <c r="B308" s="10" t="s">
        <v>767</v>
      </c>
      <c r="C308" s="11" t="s">
        <v>769</v>
      </c>
      <c r="D308" s="16" t="s">
        <v>84</v>
      </c>
      <c r="E308" s="17">
        <v>2</v>
      </c>
      <c r="F308" s="17"/>
      <c r="G308" s="59">
        <f t="shared" si="19"/>
        <v>0</v>
      </c>
    </row>
    <row r="309" spans="1:7" s="8" customFormat="1">
      <c r="A309" s="15" t="s">
        <v>1246</v>
      </c>
      <c r="B309" s="10" t="s">
        <v>767</v>
      </c>
      <c r="C309" s="11" t="s">
        <v>770</v>
      </c>
      <c r="D309" s="16" t="s">
        <v>84</v>
      </c>
      <c r="E309" s="17">
        <v>5</v>
      </c>
      <c r="F309" s="17"/>
      <c r="G309" s="59">
        <f t="shared" si="19"/>
        <v>0</v>
      </c>
    </row>
    <row r="310" spans="1:7" s="8" customFormat="1">
      <c r="A310" s="15" t="s">
        <v>1247</v>
      </c>
      <c r="B310" s="10" t="s">
        <v>771</v>
      </c>
      <c r="C310" s="11" t="s">
        <v>772</v>
      </c>
      <c r="D310" s="16" t="s">
        <v>84</v>
      </c>
      <c r="E310" s="17">
        <v>4</v>
      </c>
      <c r="F310" s="17"/>
      <c r="G310" s="59">
        <f t="shared" si="19"/>
        <v>0</v>
      </c>
    </row>
    <row r="311" spans="1:7" s="8" customFormat="1" ht="51">
      <c r="A311" s="15" t="s">
        <v>1248</v>
      </c>
      <c r="B311" s="10" t="s">
        <v>773</v>
      </c>
      <c r="C311" s="11" t="s">
        <v>774</v>
      </c>
      <c r="D311" s="16" t="s">
        <v>84</v>
      </c>
      <c r="E311" s="17">
        <f>(7+5)*2+4+2</f>
        <v>30</v>
      </c>
      <c r="F311" s="17"/>
      <c r="G311" s="59">
        <f t="shared" ref="G311:G335" si="20">E311*F311</f>
        <v>0</v>
      </c>
    </row>
    <row r="312" spans="1:7" s="8" customFormat="1" ht="38.25">
      <c r="A312" s="15" t="s">
        <v>1249</v>
      </c>
      <c r="B312" s="10" t="s">
        <v>775</v>
      </c>
      <c r="C312" s="11" t="s">
        <v>776</v>
      </c>
      <c r="D312" s="16" t="s">
        <v>84</v>
      </c>
      <c r="E312" s="17">
        <v>6</v>
      </c>
      <c r="F312" s="17"/>
      <c r="G312" s="59">
        <f t="shared" si="20"/>
        <v>0</v>
      </c>
    </row>
    <row r="313" spans="1:7" s="8" customFormat="1" ht="25.5">
      <c r="A313" s="15" t="s">
        <v>1250</v>
      </c>
      <c r="B313" s="10" t="s">
        <v>777</v>
      </c>
      <c r="C313" s="11" t="s">
        <v>778</v>
      </c>
      <c r="D313" s="16" t="s">
        <v>52</v>
      </c>
      <c r="E313" s="17">
        <v>23</v>
      </c>
      <c r="F313" s="17"/>
      <c r="G313" s="59">
        <f t="shared" si="20"/>
        <v>0</v>
      </c>
    </row>
    <row r="314" spans="1:7" s="8" customFormat="1" ht="25.5">
      <c r="A314" s="15" t="s">
        <v>1251</v>
      </c>
      <c r="B314" s="10" t="s">
        <v>779</v>
      </c>
      <c r="C314" s="11" t="s">
        <v>780</v>
      </c>
      <c r="D314" s="16" t="s">
        <v>52</v>
      </c>
      <c r="E314" s="17">
        <v>47</v>
      </c>
      <c r="F314" s="17"/>
      <c r="G314" s="59">
        <f t="shared" si="20"/>
        <v>0</v>
      </c>
    </row>
    <row r="315" spans="1:7" s="8" customFormat="1" ht="25.5">
      <c r="A315" s="15" t="s">
        <v>1252</v>
      </c>
      <c r="B315" s="10" t="s">
        <v>781</v>
      </c>
      <c r="C315" s="11" t="s">
        <v>782</v>
      </c>
      <c r="D315" s="16" t="s">
        <v>52</v>
      </c>
      <c r="E315" s="17">
        <v>40</v>
      </c>
      <c r="F315" s="17"/>
      <c r="G315" s="59">
        <f t="shared" si="20"/>
        <v>0</v>
      </c>
    </row>
    <row r="316" spans="1:7" s="8" customFormat="1">
      <c r="A316" s="15" t="s">
        <v>1253</v>
      </c>
      <c r="B316" s="10" t="s">
        <v>783</v>
      </c>
      <c r="C316" s="11" t="s">
        <v>784</v>
      </c>
      <c r="D316" s="16" t="s">
        <v>52</v>
      </c>
      <c r="E316" s="17">
        <v>11</v>
      </c>
      <c r="F316" s="17"/>
      <c r="G316" s="59">
        <f t="shared" si="20"/>
        <v>0</v>
      </c>
    </row>
    <row r="317" spans="1:7" s="8" customFormat="1" ht="25.5">
      <c r="A317" s="15" t="s">
        <v>1254</v>
      </c>
      <c r="B317" s="10" t="s">
        <v>785</v>
      </c>
      <c r="C317" s="11" t="s">
        <v>786</v>
      </c>
      <c r="D317" s="16" t="s">
        <v>84</v>
      </c>
      <c r="E317" s="17">
        <v>5</v>
      </c>
      <c r="F317" s="17"/>
      <c r="G317" s="59">
        <f t="shared" si="20"/>
        <v>0</v>
      </c>
    </row>
    <row r="318" spans="1:7" s="8" customFormat="1" ht="25.5">
      <c r="A318" s="15" t="s">
        <v>1255</v>
      </c>
      <c r="B318" s="10" t="s">
        <v>787</v>
      </c>
      <c r="C318" s="11" t="s">
        <v>788</v>
      </c>
      <c r="D318" s="16" t="s">
        <v>84</v>
      </c>
      <c r="E318" s="17">
        <v>2</v>
      </c>
      <c r="F318" s="17"/>
      <c r="G318" s="59">
        <f t="shared" si="20"/>
        <v>0</v>
      </c>
    </row>
    <row r="319" spans="1:7" s="8" customFormat="1" ht="25.5">
      <c r="A319" s="15" t="s">
        <v>1256</v>
      </c>
      <c r="B319" s="10" t="s">
        <v>789</v>
      </c>
      <c r="C319" s="11" t="s">
        <v>790</v>
      </c>
      <c r="D319" s="16" t="s">
        <v>84</v>
      </c>
      <c r="E319" s="17">
        <v>6</v>
      </c>
      <c r="F319" s="17"/>
      <c r="G319" s="59">
        <f t="shared" si="20"/>
        <v>0</v>
      </c>
    </row>
    <row r="320" spans="1:7" s="8" customFormat="1">
      <c r="A320" s="15" t="s">
        <v>1257</v>
      </c>
      <c r="B320" s="10" t="s">
        <v>791</v>
      </c>
      <c r="C320" s="11" t="s">
        <v>792</v>
      </c>
      <c r="D320" s="16" t="s">
        <v>84</v>
      </c>
      <c r="E320" s="17">
        <v>4</v>
      </c>
      <c r="F320" s="17"/>
      <c r="G320" s="59">
        <f t="shared" si="20"/>
        <v>0</v>
      </c>
    </row>
    <row r="321" spans="1:7" s="8" customFormat="1">
      <c r="A321" s="15" t="s">
        <v>1258</v>
      </c>
      <c r="B321" s="10" t="s">
        <v>793</v>
      </c>
      <c r="C321" s="11" t="s">
        <v>794</v>
      </c>
      <c r="D321" s="16" t="s">
        <v>461</v>
      </c>
      <c r="E321" s="17">
        <v>5</v>
      </c>
      <c r="F321" s="17"/>
      <c r="G321" s="59">
        <f t="shared" si="20"/>
        <v>0</v>
      </c>
    </row>
    <row r="322" spans="1:7" s="8" customFormat="1">
      <c r="A322" s="15" t="s">
        <v>1259</v>
      </c>
      <c r="B322" s="10" t="s">
        <v>793</v>
      </c>
      <c r="C322" s="11" t="s">
        <v>795</v>
      </c>
      <c r="D322" s="16" t="s">
        <v>461</v>
      </c>
      <c r="E322" s="17">
        <v>2</v>
      </c>
      <c r="F322" s="17"/>
      <c r="G322" s="59">
        <f t="shared" si="20"/>
        <v>0</v>
      </c>
    </row>
    <row r="323" spans="1:7" s="8" customFormat="1">
      <c r="A323" s="15" t="s">
        <v>1260</v>
      </c>
      <c r="B323" s="10" t="s">
        <v>796</v>
      </c>
      <c r="C323" s="11" t="s">
        <v>797</v>
      </c>
      <c r="D323" s="16" t="s">
        <v>461</v>
      </c>
      <c r="E323" s="17">
        <f>5+2</f>
        <v>7</v>
      </c>
      <c r="F323" s="17"/>
      <c r="G323" s="59">
        <f t="shared" si="20"/>
        <v>0</v>
      </c>
    </row>
    <row r="324" spans="1:7" s="8" customFormat="1">
      <c r="A324" s="15" t="s">
        <v>1261</v>
      </c>
      <c r="B324" s="10" t="s">
        <v>798</v>
      </c>
      <c r="C324" s="11" t="s">
        <v>799</v>
      </c>
      <c r="D324" s="16" t="s">
        <v>461</v>
      </c>
      <c r="E324" s="17">
        <v>2</v>
      </c>
      <c r="F324" s="17"/>
      <c r="G324" s="59">
        <f t="shared" si="20"/>
        <v>0</v>
      </c>
    </row>
    <row r="325" spans="1:7" s="8" customFormat="1">
      <c r="A325" s="15" t="s">
        <v>1262</v>
      </c>
      <c r="B325" s="10" t="s">
        <v>800</v>
      </c>
      <c r="C325" s="11" t="s">
        <v>801</v>
      </c>
      <c r="D325" s="16" t="s">
        <v>84</v>
      </c>
      <c r="E325" s="17">
        <v>3</v>
      </c>
      <c r="F325" s="17"/>
      <c r="G325" s="59">
        <f t="shared" si="20"/>
        <v>0</v>
      </c>
    </row>
    <row r="326" spans="1:7" s="8" customFormat="1">
      <c r="A326" s="15" t="s">
        <v>1263</v>
      </c>
      <c r="B326" s="10" t="s">
        <v>800</v>
      </c>
      <c r="C326" s="11" t="s">
        <v>802</v>
      </c>
      <c r="D326" s="16" t="s">
        <v>84</v>
      </c>
      <c r="E326" s="17">
        <v>2</v>
      </c>
      <c r="F326" s="17"/>
      <c r="G326" s="59">
        <f t="shared" si="20"/>
        <v>0</v>
      </c>
    </row>
    <row r="327" spans="1:7" s="8" customFormat="1" ht="25.5">
      <c r="A327" s="15" t="s">
        <v>1264</v>
      </c>
      <c r="B327" s="10" t="s">
        <v>803</v>
      </c>
      <c r="C327" s="11" t="s">
        <v>804</v>
      </c>
      <c r="D327" s="16" t="s">
        <v>461</v>
      </c>
      <c r="E327" s="17">
        <v>6</v>
      </c>
      <c r="F327" s="17"/>
      <c r="G327" s="59">
        <f t="shared" si="20"/>
        <v>0</v>
      </c>
    </row>
    <row r="328" spans="1:7" s="8" customFormat="1" ht="25.5">
      <c r="A328" s="15" t="s">
        <v>1265</v>
      </c>
      <c r="B328" s="10" t="s">
        <v>805</v>
      </c>
      <c r="C328" s="11" t="s">
        <v>806</v>
      </c>
      <c r="D328" s="16" t="s">
        <v>461</v>
      </c>
      <c r="E328" s="17">
        <v>4</v>
      </c>
      <c r="F328" s="17"/>
      <c r="G328" s="59">
        <f t="shared" si="20"/>
        <v>0</v>
      </c>
    </row>
    <row r="329" spans="1:7" s="8" customFormat="1" ht="25.5">
      <c r="A329" s="15" t="s">
        <v>1266</v>
      </c>
      <c r="B329" s="10" t="s">
        <v>805</v>
      </c>
      <c r="C329" s="11" t="s">
        <v>807</v>
      </c>
      <c r="D329" s="16" t="s">
        <v>461</v>
      </c>
      <c r="E329" s="17">
        <v>2</v>
      </c>
      <c r="F329" s="17"/>
      <c r="G329" s="59">
        <f t="shared" si="20"/>
        <v>0</v>
      </c>
    </row>
    <row r="330" spans="1:7" s="8" customFormat="1" ht="25.5">
      <c r="A330" s="15" t="s">
        <v>1267</v>
      </c>
      <c r="B330" s="10" t="s">
        <v>808</v>
      </c>
      <c r="C330" s="11" t="s">
        <v>809</v>
      </c>
      <c r="D330" s="16" t="s">
        <v>461</v>
      </c>
      <c r="E330" s="17">
        <v>6</v>
      </c>
      <c r="F330" s="17"/>
      <c r="G330" s="59">
        <f t="shared" si="20"/>
        <v>0</v>
      </c>
    </row>
    <row r="331" spans="1:7" s="8" customFormat="1" ht="25.5">
      <c r="A331" s="15" t="s">
        <v>1268</v>
      </c>
      <c r="B331" s="10" t="s">
        <v>810</v>
      </c>
      <c r="C331" s="11" t="s">
        <v>811</v>
      </c>
      <c r="D331" s="16" t="s">
        <v>84</v>
      </c>
      <c r="E331" s="17">
        <f>7+2+5</f>
        <v>14</v>
      </c>
      <c r="F331" s="17"/>
      <c r="G331" s="59">
        <f t="shared" si="20"/>
        <v>0</v>
      </c>
    </row>
    <row r="332" spans="1:7" s="8" customFormat="1" ht="25.5">
      <c r="A332" s="15" t="s">
        <v>1269</v>
      </c>
      <c r="B332" s="10" t="s">
        <v>812</v>
      </c>
      <c r="C332" s="11" t="s">
        <v>813</v>
      </c>
      <c r="D332" s="16" t="s">
        <v>84</v>
      </c>
      <c r="E332" s="17">
        <v>6</v>
      </c>
      <c r="F332" s="17"/>
      <c r="G332" s="59">
        <f t="shared" si="20"/>
        <v>0</v>
      </c>
    </row>
    <row r="333" spans="1:7" s="8" customFormat="1">
      <c r="A333" s="15" t="s">
        <v>1270</v>
      </c>
      <c r="B333" s="10" t="s">
        <v>59</v>
      </c>
      <c r="C333" s="11" t="s">
        <v>814</v>
      </c>
      <c r="D333" s="16" t="s">
        <v>509</v>
      </c>
      <c r="E333" s="17">
        <v>4</v>
      </c>
      <c r="F333" s="17"/>
      <c r="G333" s="59">
        <f t="shared" si="20"/>
        <v>0</v>
      </c>
    </row>
    <row r="334" spans="1:7" s="8" customFormat="1">
      <c r="A334" s="15" t="s">
        <v>1271</v>
      </c>
      <c r="B334" s="10" t="s">
        <v>59</v>
      </c>
      <c r="C334" s="11" t="s">
        <v>815</v>
      </c>
      <c r="D334" s="16" t="s">
        <v>509</v>
      </c>
      <c r="E334" s="17">
        <v>4</v>
      </c>
      <c r="F334" s="17"/>
      <c r="G334" s="59">
        <f t="shared" si="20"/>
        <v>0</v>
      </c>
    </row>
    <row r="335" spans="1:7" s="8" customFormat="1" ht="25.5">
      <c r="A335" s="15" t="s">
        <v>1272</v>
      </c>
      <c r="B335" s="10" t="s">
        <v>59</v>
      </c>
      <c r="C335" s="11" t="s">
        <v>629</v>
      </c>
      <c r="D335" s="16" t="s">
        <v>509</v>
      </c>
      <c r="E335" s="17">
        <v>8</v>
      </c>
      <c r="F335" s="17"/>
      <c r="G335" s="59">
        <f t="shared" si="20"/>
        <v>0</v>
      </c>
    </row>
    <row r="336" spans="1:7" s="8" customFormat="1">
      <c r="A336" s="18" t="s">
        <v>119</v>
      </c>
      <c r="B336" s="45" t="s">
        <v>630</v>
      </c>
      <c r="C336" s="19"/>
      <c r="D336" s="46"/>
      <c r="E336" s="46"/>
      <c r="F336" s="20"/>
      <c r="G336" s="64">
        <f>SUM(G337:G358)</f>
        <v>0</v>
      </c>
    </row>
    <row r="337" spans="1:7" s="8" customFormat="1" ht="38.25">
      <c r="A337" s="15" t="s">
        <v>121</v>
      </c>
      <c r="B337" s="10" t="s">
        <v>816</v>
      </c>
      <c r="C337" s="11" t="s">
        <v>817</v>
      </c>
      <c r="D337" s="16" t="s">
        <v>11</v>
      </c>
      <c r="E337" s="17">
        <f>12*0.5*0.15</f>
        <v>0.89999999999999991</v>
      </c>
      <c r="F337" s="17"/>
      <c r="G337" s="59">
        <f t="shared" ref="G337:G358" si="21">E337*F337</f>
        <v>0</v>
      </c>
    </row>
    <row r="338" spans="1:7" s="8" customFormat="1">
      <c r="A338" s="15" t="s">
        <v>124</v>
      </c>
      <c r="B338" s="10" t="s">
        <v>59</v>
      </c>
      <c r="C338" s="11" t="s">
        <v>1466</v>
      </c>
      <c r="D338" s="16" t="s">
        <v>11</v>
      </c>
      <c r="E338" s="17">
        <f>12*0.5*0.15</f>
        <v>0.89999999999999991</v>
      </c>
      <c r="F338" s="17"/>
      <c r="G338" s="59">
        <f t="shared" si="21"/>
        <v>0</v>
      </c>
    </row>
    <row r="339" spans="1:7" s="8" customFormat="1" ht="25.5">
      <c r="A339" s="15" t="s">
        <v>127</v>
      </c>
      <c r="B339" s="10" t="s">
        <v>818</v>
      </c>
      <c r="C339" s="11" t="s">
        <v>819</v>
      </c>
      <c r="D339" s="16" t="s">
        <v>11</v>
      </c>
      <c r="E339" s="17">
        <f>12*0.5*0.5</f>
        <v>3</v>
      </c>
      <c r="F339" s="17"/>
      <c r="G339" s="59">
        <f t="shared" si="21"/>
        <v>0</v>
      </c>
    </row>
    <row r="340" spans="1:7" s="8" customFormat="1" ht="25.5">
      <c r="A340" s="15" t="s">
        <v>130</v>
      </c>
      <c r="B340" s="10" t="s">
        <v>820</v>
      </c>
      <c r="C340" s="11" t="s">
        <v>821</v>
      </c>
      <c r="D340" s="16" t="s">
        <v>11</v>
      </c>
      <c r="E340" s="17">
        <f>12*0.5*0.5</f>
        <v>3</v>
      </c>
      <c r="F340" s="17"/>
      <c r="G340" s="59">
        <f t="shared" si="21"/>
        <v>0</v>
      </c>
    </row>
    <row r="341" spans="1:7" s="8" customFormat="1" ht="25.5">
      <c r="A341" s="15" t="s">
        <v>1186</v>
      </c>
      <c r="B341" s="10" t="s">
        <v>505</v>
      </c>
      <c r="C341" s="11" t="s">
        <v>822</v>
      </c>
      <c r="D341" s="16" t="s">
        <v>11</v>
      </c>
      <c r="E341" s="17">
        <f>12*0.5*0.15</f>
        <v>0.89999999999999991</v>
      </c>
      <c r="F341" s="17"/>
      <c r="G341" s="59">
        <f t="shared" si="21"/>
        <v>0</v>
      </c>
    </row>
    <row r="342" spans="1:7" s="8" customFormat="1" ht="25.5">
      <c r="A342" s="15" t="s">
        <v>1187</v>
      </c>
      <c r="B342" s="10" t="s">
        <v>632</v>
      </c>
      <c r="C342" s="11" t="s">
        <v>633</v>
      </c>
      <c r="D342" s="16" t="s">
        <v>84</v>
      </c>
      <c r="E342" s="17">
        <v>13</v>
      </c>
      <c r="F342" s="17"/>
      <c r="G342" s="59">
        <f t="shared" si="21"/>
        <v>0</v>
      </c>
    </row>
    <row r="343" spans="1:7" s="8" customFormat="1" ht="25.5">
      <c r="A343" s="15" t="s">
        <v>1188</v>
      </c>
      <c r="B343" s="10" t="s">
        <v>635</v>
      </c>
      <c r="C343" s="11" t="s">
        <v>636</v>
      </c>
      <c r="D343" s="16" t="s">
        <v>84</v>
      </c>
      <c r="E343" s="17">
        <v>12</v>
      </c>
      <c r="F343" s="17"/>
      <c r="G343" s="59">
        <f t="shared" si="21"/>
        <v>0</v>
      </c>
    </row>
    <row r="344" spans="1:7" s="8" customFormat="1" ht="25.5">
      <c r="A344" s="15" t="s">
        <v>1273</v>
      </c>
      <c r="B344" s="10" t="s">
        <v>638</v>
      </c>
      <c r="C344" s="11" t="s">
        <v>639</v>
      </c>
      <c r="D344" s="16" t="s">
        <v>84</v>
      </c>
      <c r="E344" s="17">
        <v>2</v>
      </c>
      <c r="F344" s="17"/>
      <c r="G344" s="59">
        <f t="shared" si="21"/>
        <v>0</v>
      </c>
    </row>
    <row r="345" spans="1:7" s="8" customFormat="1" ht="25.5">
      <c r="A345" s="15" t="s">
        <v>1274</v>
      </c>
      <c r="B345" s="10" t="s">
        <v>823</v>
      </c>
      <c r="C345" s="11" t="s">
        <v>824</v>
      </c>
      <c r="D345" s="16" t="s">
        <v>84</v>
      </c>
      <c r="E345" s="17">
        <v>1</v>
      </c>
      <c r="F345" s="17"/>
      <c r="G345" s="59">
        <f t="shared" si="21"/>
        <v>0</v>
      </c>
    </row>
    <row r="346" spans="1:7" s="8" customFormat="1">
      <c r="A346" s="15" t="s">
        <v>1275</v>
      </c>
      <c r="B346" s="10" t="s">
        <v>641</v>
      </c>
      <c r="C346" s="11" t="s">
        <v>642</v>
      </c>
      <c r="D346" s="16" t="s">
        <v>84</v>
      </c>
      <c r="E346" s="17">
        <f>6+18</f>
        <v>24</v>
      </c>
      <c r="F346" s="17"/>
      <c r="G346" s="59">
        <f t="shared" si="21"/>
        <v>0</v>
      </c>
    </row>
    <row r="347" spans="1:7" s="8" customFormat="1">
      <c r="A347" s="15" t="s">
        <v>1276</v>
      </c>
      <c r="B347" s="10" t="s">
        <v>644</v>
      </c>
      <c r="C347" s="11" t="s">
        <v>645</v>
      </c>
      <c r="D347" s="16" t="s">
        <v>84</v>
      </c>
      <c r="E347" s="17">
        <v>13</v>
      </c>
      <c r="F347" s="17"/>
      <c r="G347" s="59">
        <f t="shared" si="21"/>
        <v>0</v>
      </c>
    </row>
    <row r="348" spans="1:7" s="8" customFormat="1">
      <c r="A348" s="15" t="s">
        <v>1277</v>
      </c>
      <c r="B348" s="10" t="s">
        <v>647</v>
      </c>
      <c r="C348" s="11" t="s">
        <v>825</v>
      </c>
      <c r="D348" s="16" t="s">
        <v>84</v>
      </c>
      <c r="E348" s="17">
        <v>12</v>
      </c>
      <c r="F348" s="17"/>
      <c r="G348" s="59">
        <f t="shared" si="21"/>
        <v>0</v>
      </c>
    </row>
    <row r="349" spans="1:7" s="8" customFormat="1" ht="25.5">
      <c r="A349" s="15" t="s">
        <v>1278</v>
      </c>
      <c r="B349" s="10" t="s">
        <v>650</v>
      </c>
      <c r="C349" s="11" t="s">
        <v>826</v>
      </c>
      <c r="D349" s="16" t="s">
        <v>84</v>
      </c>
      <c r="E349" s="17">
        <f>2+1</f>
        <v>3</v>
      </c>
      <c r="F349" s="17"/>
      <c r="G349" s="59">
        <f t="shared" si="21"/>
        <v>0</v>
      </c>
    </row>
    <row r="350" spans="1:7" s="8" customFormat="1">
      <c r="A350" s="15" t="s">
        <v>1279</v>
      </c>
      <c r="B350" s="10" t="s">
        <v>653</v>
      </c>
      <c r="C350" s="11" t="s">
        <v>654</v>
      </c>
      <c r="D350" s="16" t="s">
        <v>84</v>
      </c>
      <c r="E350" s="17">
        <v>24</v>
      </c>
      <c r="F350" s="17"/>
      <c r="G350" s="59">
        <f t="shared" si="21"/>
        <v>0</v>
      </c>
    </row>
    <row r="351" spans="1:7" s="8" customFormat="1" ht="51">
      <c r="A351" s="15" t="s">
        <v>1280</v>
      </c>
      <c r="B351" s="10" t="s">
        <v>656</v>
      </c>
      <c r="C351" s="11" t="s">
        <v>657</v>
      </c>
      <c r="D351" s="16" t="s">
        <v>84</v>
      </c>
      <c r="E351" s="17">
        <f>(24+13+12+3)*2</f>
        <v>104</v>
      </c>
      <c r="F351" s="17"/>
      <c r="G351" s="59">
        <f t="shared" si="21"/>
        <v>0</v>
      </c>
    </row>
    <row r="352" spans="1:7" s="8" customFormat="1" ht="51">
      <c r="A352" s="15" t="s">
        <v>1281</v>
      </c>
      <c r="B352" s="10" t="s">
        <v>659</v>
      </c>
      <c r="C352" s="11" t="s">
        <v>660</v>
      </c>
      <c r="D352" s="16" t="s">
        <v>84</v>
      </c>
      <c r="E352" s="17">
        <v>24</v>
      </c>
      <c r="F352" s="17"/>
      <c r="G352" s="59">
        <f t="shared" si="21"/>
        <v>0</v>
      </c>
    </row>
    <row r="353" spans="1:7" s="8" customFormat="1" ht="25.5">
      <c r="A353" s="15" t="s">
        <v>1282</v>
      </c>
      <c r="B353" s="10" t="s">
        <v>828</v>
      </c>
      <c r="C353" s="11" t="s">
        <v>829</v>
      </c>
      <c r="D353" s="16" t="s">
        <v>52</v>
      </c>
      <c r="E353" s="17">
        <v>50</v>
      </c>
      <c r="F353" s="17"/>
      <c r="G353" s="59">
        <f t="shared" si="21"/>
        <v>0</v>
      </c>
    </row>
    <row r="354" spans="1:7" s="8" customFormat="1" ht="25.5">
      <c r="A354" s="15" t="s">
        <v>1283</v>
      </c>
      <c r="B354" s="10" t="s">
        <v>830</v>
      </c>
      <c r="C354" s="11" t="s">
        <v>831</v>
      </c>
      <c r="D354" s="16" t="s">
        <v>52</v>
      </c>
      <c r="E354" s="17">
        <v>50</v>
      </c>
      <c r="F354" s="17"/>
      <c r="G354" s="59">
        <f t="shared" si="21"/>
        <v>0</v>
      </c>
    </row>
    <row r="355" spans="1:7" s="8" customFormat="1" ht="25.5">
      <c r="A355" s="15" t="s">
        <v>1284</v>
      </c>
      <c r="B355" s="10" t="s">
        <v>832</v>
      </c>
      <c r="C355" s="11" t="s">
        <v>833</v>
      </c>
      <c r="D355" s="16" t="s">
        <v>52</v>
      </c>
      <c r="E355" s="17">
        <v>30</v>
      </c>
      <c r="F355" s="17"/>
      <c r="G355" s="59">
        <f t="shared" si="21"/>
        <v>0</v>
      </c>
    </row>
    <row r="356" spans="1:7" s="8" customFormat="1" ht="25.5">
      <c r="A356" s="15" t="s">
        <v>1285</v>
      </c>
      <c r="B356" s="10" t="s">
        <v>834</v>
      </c>
      <c r="C356" s="11" t="s">
        <v>835</v>
      </c>
      <c r="D356" s="16" t="s">
        <v>52</v>
      </c>
      <c r="E356" s="17">
        <v>30</v>
      </c>
      <c r="F356" s="17"/>
      <c r="G356" s="59">
        <f t="shared" si="21"/>
        <v>0</v>
      </c>
    </row>
    <row r="357" spans="1:7" s="8" customFormat="1" ht="25.5">
      <c r="A357" s="15" t="s">
        <v>1286</v>
      </c>
      <c r="B357" s="10" t="s">
        <v>74</v>
      </c>
      <c r="C357" s="11" t="s">
        <v>836</v>
      </c>
      <c r="D357" s="16" t="s">
        <v>31</v>
      </c>
      <c r="E357" s="17">
        <f>70+35</f>
        <v>105</v>
      </c>
      <c r="F357" s="17"/>
      <c r="G357" s="59">
        <f t="shared" si="21"/>
        <v>0</v>
      </c>
    </row>
    <row r="358" spans="1:7" s="8" customFormat="1" ht="25.5">
      <c r="A358" s="15" t="s">
        <v>1287</v>
      </c>
      <c r="B358" s="10" t="s">
        <v>75</v>
      </c>
      <c r="C358" s="11" t="s">
        <v>76</v>
      </c>
      <c r="D358" s="16" t="s">
        <v>31</v>
      </c>
      <c r="E358" s="17">
        <f>70+35</f>
        <v>105</v>
      </c>
      <c r="F358" s="17"/>
      <c r="G358" s="59">
        <f t="shared" si="21"/>
        <v>0</v>
      </c>
    </row>
    <row r="359" spans="1:7" s="6" customFormat="1">
      <c r="A359" s="33" t="s">
        <v>837</v>
      </c>
      <c r="B359" s="34"/>
      <c r="C359" s="47"/>
      <c r="D359" s="34"/>
      <c r="E359" s="34"/>
      <c r="F359" s="35"/>
      <c r="G359" s="60">
        <f>G360+G378+G389+G398+G408+G422+G450+G466+G478+G500+G514+G532+G536+G545</f>
        <v>0</v>
      </c>
    </row>
    <row r="360" spans="1:7" s="8" customFormat="1">
      <c r="A360" s="32" t="s">
        <v>521</v>
      </c>
      <c r="B360" s="106" t="s">
        <v>838</v>
      </c>
      <c r="C360" s="107"/>
      <c r="D360" s="107"/>
      <c r="E360" s="107"/>
      <c r="F360" s="108"/>
      <c r="G360" s="62">
        <f>SUM(G361:G377)</f>
        <v>0</v>
      </c>
    </row>
    <row r="361" spans="1:7" s="8" customFormat="1" ht="25.5">
      <c r="A361" s="21" t="s">
        <v>9</v>
      </c>
      <c r="B361" s="22" t="s">
        <v>844</v>
      </c>
      <c r="C361" s="23" t="s">
        <v>1309</v>
      </c>
      <c r="D361" s="24" t="s">
        <v>461</v>
      </c>
      <c r="E361" s="25">
        <v>7</v>
      </c>
      <c r="F361" s="25"/>
      <c r="G361" s="59">
        <f t="shared" ref="G361:G377" si="22">E361*F361</f>
        <v>0</v>
      </c>
    </row>
    <row r="362" spans="1:7" s="8" customFormat="1" ht="25.5">
      <c r="A362" s="21" t="s">
        <v>12</v>
      </c>
      <c r="B362" s="22" t="s">
        <v>844</v>
      </c>
      <c r="C362" s="23" t="s">
        <v>1310</v>
      </c>
      <c r="D362" s="24" t="s">
        <v>461</v>
      </c>
      <c r="E362" s="25">
        <v>4</v>
      </c>
      <c r="F362" s="25"/>
      <c r="G362" s="59">
        <f t="shared" si="22"/>
        <v>0</v>
      </c>
    </row>
    <row r="363" spans="1:7" s="8" customFormat="1">
      <c r="A363" s="21" t="s">
        <v>13</v>
      </c>
      <c r="B363" s="22" t="s">
        <v>845</v>
      </c>
      <c r="C363" s="23" t="s">
        <v>1311</v>
      </c>
      <c r="D363" s="24" t="s">
        <v>461</v>
      </c>
      <c r="E363" s="25">
        <v>13</v>
      </c>
      <c r="F363" s="25"/>
      <c r="G363" s="59">
        <f t="shared" si="22"/>
        <v>0</v>
      </c>
    </row>
    <row r="364" spans="1:7" s="8" customFormat="1">
      <c r="A364" s="21" t="s">
        <v>16</v>
      </c>
      <c r="B364" s="22" t="s">
        <v>845</v>
      </c>
      <c r="C364" s="23" t="s">
        <v>1312</v>
      </c>
      <c r="D364" s="24" t="s">
        <v>461</v>
      </c>
      <c r="E364" s="25">
        <v>7</v>
      </c>
      <c r="F364" s="25"/>
      <c r="G364" s="59">
        <f t="shared" si="22"/>
        <v>0</v>
      </c>
    </row>
    <row r="365" spans="1:7" s="8" customFormat="1">
      <c r="A365" s="21" t="s">
        <v>19</v>
      </c>
      <c r="B365" s="22" t="s">
        <v>845</v>
      </c>
      <c r="C365" s="23" t="s">
        <v>1313</v>
      </c>
      <c r="D365" s="24" t="s">
        <v>461</v>
      </c>
      <c r="E365" s="25">
        <v>7</v>
      </c>
      <c r="F365" s="25"/>
      <c r="G365" s="59">
        <f t="shared" si="22"/>
        <v>0</v>
      </c>
    </row>
    <row r="366" spans="1:7" s="8" customFormat="1">
      <c r="A366" s="21" t="s">
        <v>22</v>
      </c>
      <c r="B366" s="22" t="s">
        <v>845</v>
      </c>
      <c r="C366" s="23" t="s">
        <v>1315</v>
      </c>
      <c r="D366" s="24" t="s">
        <v>461</v>
      </c>
      <c r="E366" s="25">
        <v>2</v>
      </c>
      <c r="F366" s="25"/>
      <c r="G366" s="59">
        <f t="shared" si="22"/>
        <v>0</v>
      </c>
    </row>
    <row r="367" spans="1:7" s="8" customFormat="1">
      <c r="A367" s="21" t="s">
        <v>25</v>
      </c>
      <c r="B367" s="22" t="s">
        <v>845</v>
      </c>
      <c r="C367" s="23" t="s">
        <v>1314</v>
      </c>
      <c r="D367" s="24" t="s">
        <v>461</v>
      </c>
      <c r="E367" s="25">
        <v>8</v>
      </c>
      <c r="F367" s="25"/>
      <c r="G367" s="59">
        <f t="shared" si="22"/>
        <v>0</v>
      </c>
    </row>
    <row r="368" spans="1:7" s="8" customFormat="1">
      <c r="A368" s="21" t="s">
        <v>28</v>
      </c>
      <c r="B368" s="22" t="s">
        <v>864</v>
      </c>
      <c r="C368" s="23" t="s">
        <v>865</v>
      </c>
      <c r="D368" s="24" t="s">
        <v>84</v>
      </c>
      <c r="E368" s="25">
        <v>10</v>
      </c>
      <c r="F368" s="25"/>
      <c r="G368" s="59">
        <f t="shared" si="22"/>
        <v>0</v>
      </c>
    </row>
    <row r="369" spans="1:7" s="8" customFormat="1" ht="25.5">
      <c r="A369" s="21" t="s">
        <v>32</v>
      </c>
      <c r="B369" s="22" t="s">
        <v>848</v>
      </c>
      <c r="C369" s="23" t="s">
        <v>849</v>
      </c>
      <c r="D369" s="24" t="s">
        <v>84</v>
      </c>
      <c r="E369" s="25">
        <v>18</v>
      </c>
      <c r="F369" s="25"/>
      <c r="G369" s="59">
        <f t="shared" si="22"/>
        <v>0</v>
      </c>
    </row>
    <row r="370" spans="1:7" s="8" customFormat="1">
      <c r="A370" s="21" t="s">
        <v>34</v>
      </c>
      <c r="B370" s="22" t="s">
        <v>850</v>
      </c>
      <c r="C370" s="23" t="s">
        <v>851</v>
      </c>
      <c r="D370" s="24" t="s">
        <v>84</v>
      </c>
      <c r="E370" s="25">
        <v>35</v>
      </c>
      <c r="F370" s="25"/>
      <c r="G370" s="59">
        <f t="shared" si="22"/>
        <v>0</v>
      </c>
    </row>
    <row r="371" spans="1:7" s="8" customFormat="1" ht="25.5">
      <c r="A371" s="21" t="s">
        <v>37</v>
      </c>
      <c r="B371" s="22" t="s">
        <v>848</v>
      </c>
      <c r="C371" s="23" t="s">
        <v>849</v>
      </c>
      <c r="D371" s="24" t="s">
        <v>84</v>
      </c>
      <c r="E371" s="25">
        <v>25</v>
      </c>
      <c r="F371" s="25"/>
      <c r="G371" s="59">
        <f t="shared" si="22"/>
        <v>0</v>
      </c>
    </row>
    <row r="372" spans="1:7" s="8" customFormat="1">
      <c r="A372" s="21" t="s">
        <v>39</v>
      </c>
      <c r="B372" s="22" t="s">
        <v>852</v>
      </c>
      <c r="C372" s="23" t="s">
        <v>853</v>
      </c>
      <c r="D372" s="24" t="s">
        <v>84</v>
      </c>
      <c r="E372" s="25">
        <v>42</v>
      </c>
      <c r="F372" s="25"/>
      <c r="G372" s="59">
        <f t="shared" si="22"/>
        <v>0</v>
      </c>
    </row>
    <row r="373" spans="1:7" s="8" customFormat="1">
      <c r="A373" s="21" t="s">
        <v>40</v>
      </c>
      <c r="B373" s="22" t="s">
        <v>866</v>
      </c>
      <c r="C373" s="23" t="s">
        <v>867</v>
      </c>
      <c r="D373" s="24" t="s">
        <v>52</v>
      </c>
      <c r="E373" s="25">
        <v>880</v>
      </c>
      <c r="F373" s="25"/>
      <c r="G373" s="59">
        <f t="shared" si="22"/>
        <v>0</v>
      </c>
    </row>
    <row r="374" spans="1:7" s="8" customFormat="1" ht="51">
      <c r="A374" s="21" t="s">
        <v>41</v>
      </c>
      <c r="B374" s="22" t="s">
        <v>868</v>
      </c>
      <c r="C374" s="23" t="s">
        <v>869</v>
      </c>
      <c r="D374" s="24" t="s">
        <v>52</v>
      </c>
      <c r="E374" s="25">
        <v>30</v>
      </c>
      <c r="F374" s="25"/>
      <c r="G374" s="59">
        <f t="shared" si="22"/>
        <v>0</v>
      </c>
    </row>
    <row r="375" spans="1:7" s="8" customFormat="1" ht="38.25">
      <c r="A375" s="21" t="s">
        <v>44</v>
      </c>
      <c r="B375" s="22" t="s">
        <v>868</v>
      </c>
      <c r="C375" s="23" t="s">
        <v>870</v>
      </c>
      <c r="D375" s="24" t="s">
        <v>52</v>
      </c>
      <c r="E375" s="25">
        <v>100</v>
      </c>
      <c r="F375" s="25"/>
      <c r="G375" s="59">
        <f t="shared" si="22"/>
        <v>0</v>
      </c>
    </row>
    <row r="376" spans="1:7" s="8" customFormat="1" ht="38.25">
      <c r="A376" s="21" t="s">
        <v>46</v>
      </c>
      <c r="B376" s="22" t="s">
        <v>868</v>
      </c>
      <c r="C376" s="23" t="s">
        <v>870</v>
      </c>
      <c r="D376" s="24" t="s">
        <v>52</v>
      </c>
      <c r="E376" s="25">
        <v>450</v>
      </c>
      <c r="F376" s="25"/>
      <c r="G376" s="59">
        <f t="shared" si="22"/>
        <v>0</v>
      </c>
    </row>
    <row r="377" spans="1:7" s="8" customFormat="1" ht="38.25">
      <c r="A377" s="21" t="s">
        <v>47</v>
      </c>
      <c r="B377" s="22" t="s">
        <v>868</v>
      </c>
      <c r="C377" s="23" t="s">
        <v>871</v>
      </c>
      <c r="D377" s="24" t="s">
        <v>52</v>
      </c>
      <c r="E377" s="25">
        <v>300</v>
      </c>
      <c r="F377" s="25"/>
      <c r="G377" s="59">
        <f t="shared" si="22"/>
        <v>0</v>
      </c>
    </row>
    <row r="378" spans="1:7" s="8" customFormat="1">
      <c r="A378" s="32" t="s">
        <v>77</v>
      </c>
      <c r="B378" s="28" t="s">
        <v>872</v>
      </c>
      <c r="C378" s="29"/>
      <c r="D378" s="30"/>
      <c r="E378" s="30"/>
      <c r="F378" s="31"/>
      <c r="G378" s="62">
        <f>SUM(G379:G388)</f>
        <v>0</v>
      </c>
    </row>
    <row r="379" spans="1:7" s="8" customFormat="1" ht="38.25">
      <c r="A379" s="15" t="s">
        <v>79</v>
      </c>
      <c r="B379" s="10" t="s">
        <v>846</v>
      </c>
      <c r="C379" s="11" t="s">
        <v>847</v>
      </c>
      <c r="D379" s="16" t="s">
        <v>84</v>
      </c>
      <c r="E379" s="17">
        <v>303</v>
      </c>
      <c r="F379" s="17"/>
      <c r="G379" s="59">
        <f t="shared" ref="G379:G407" si="23">E379*F379</f>
        <v>0</v>
      </c>
    </row>
    <row r="380" spans="1:7" s="8" customFormat="1">
      <c r="A380" s="15" t="s">
        <v>104</v>
      </c>
      <c r="B380" s="10" t="s">
        <v>852</v>
      </c>
      <c r="C380" s="11" t="s">
        <v>853</v>
      </c>
      <c r="D380" s="16" t="s">
        <v>84</v>
      </c>
      <c r="E380" s="17">
        <v>303</v>
      </c>
      <c r="F380" s="17"/>
      <c r="G380" s="59">
        <f t="shared" si="23"/>
        <v>0</v>
      </c>
    </row>
    <row r="381" spans="1:7" s="8" customFormat="1" ht="38.25">
      <c r="A381" s="15" t="s">
        <v>119</v>
      </c>
      <c r="B381" s="10" t="s">
        <v>873</v>
      </c>
      <c r="C381" s="11" t="s">
        <v>874</v>
      </c>
      <c r="D381" s="16" t="s">
        <v>84</v>
      </c>
      <c r="E381" s="17">
        <v>58</v>
      </c>
      <c r="F381" s="17"/>
      <c r="G381" s="59">
        <f t="shared" si="23"/>
        <v>0</v>
      </c>
    </row>
    <row r="382" spans="1:7" s="8" customFormat="1" ht="38.25">
      <c r="A382" s="15" t="s">
        <v>875</v>
      </c>
      <c r="B382" s="10" t="s">
        <v>873</v>
      </c>
      <c r="C382" s="11" t="s">
        <v>874</v>
      </c>
      <c r="D382" s="16" t="s">
        <v>84</v>
      </c>
      <c r="E382" s="17">
        <v>159</v>
      </c>
      <c r="F382" s="17"/>
      <c r="G382" s="59">
        <f t="shared" si="23"/>
        <v>0</v>
      </c>
    </row>
    <row r="383" spans="1:7" s="8" customFormat="1" ht="38.25">
      <c r="A383" s="15" t="s">
        <v>876</v>
      </c>
      <c r="B383" s="10" t="s">
        <v>873</v>
      </c>
      <c r="C383" s="11" t="s">
        <v>874</v>
      </c>
      <c r="D383" s="16" t="s">
        <v>84</v>
      </c>
      <c r="E383" s="17">
        <v>86</v>
      </c>
      <c r="F383" s="17"/>
      <c r="G383" s="59">
        <f t="shared" si="23"/>
        <v>0</v>
      </c>
    </row>
    <row r="384" spans="1:7" s="8" customFormat="1">
      <c r="A384" s="15" t="s">
        <v>877</v>
      </c>
      <c r="B384" s="10" t="s">
        <v>862</v>
      </c>
      <c r="C384" s="11" t="s">
        <v>863</v>
      </c>
      <c r="D384" s="16" t="s">
        <v>84</v>
      </c>
      <c r="E384" s="17">
        <v>65</v>
      </c>
      <c r="F384" s="17"/>
      <c r="G384" s="59">
        <f t="shared" si="23"/>
        <v>0</v>
      </c>
    </row>
    <row r="385" spans="1:7" s="8" customFormat="1">
      <c r="A385" s="15" t="s">
        <v>878</v>
      </c>
      <c r="B385" s="10" t="s">
        <v>862</v>
      </c>
      <c r="C385" s="11" t="s">
        <v>879</v>
      </c>
      <c r="D385" s="16" t="s">
        <v>84</v>
      </c>
      <c r="E385" s="17">
        <v>119</v>
      </c>
      <c r="F385" s="17"/>
      <c r="G385" s="59">
        <f t="shared" si="23"/>
        <v>0</v>
      </c>
    </row>
    <row r="386" spans="1:7" s="8" customFormat="1" ht="38.25">
      <c r="A386" s="15" t="s">
        <v>881</v>
      </c>
      <c r="B386" s="10" t="s">
        <v>882</v>
      </c>
      <c r="C386" s="11" t="s">
        <v>1480</v>
      </c>
      <c r="D386" s="16" t="s">
        <v>84</v>
      </c>
      <c r="E386" s="17">
        <v>5</v>
      </c>
      <c r="F386" s="17"/>
      <c r="G386" s="59">
        <f t="shared" si="23"/>
        <v>0</v>
      </c>
    </row>
    <row r="387" spans="1:7" s="8" customFormat="1">
      <c r="A387" s="15" t="s">
        <v>884</v>
      </c>
      <c r="B387" s="10" t="s">
        <v>866</v>
      </c>
      <c r="C387" s="11" t="s">
        <v>867</v>
      </c>
      <c r="D387" s="16" t="s">
        <v>52</v>
      </c>
      <c r="E387" s="17">
        <v>2250</v>
      </c>
      <c r="F387" s="17"/>
      <c r="G387" s="59">
        <f t="shared" si="23"/>
        <v>0</v>
      </c>
    </row>
    <row r="388" spans="1:7" s="8" customFormat="1" ht="38.25">
      <c r="A388" s="15" t="s">
        <v>885</v>
      </c>
      <c r="B388" s="10" t="s">
        <v>868</v>
      </c>
      <c r="C388" s="11" t="s">
        <v>870</v>
      </c>
      <c r="D388" s="16" t="s">
        <v>52</v>
      </c>
      <c r="E388" s="17">
        <v>2250</v>
      </c>
      <c r="F388" s="17"/>
      <c r="G388" s="59">
        <f t="shared" si="23"/>
        <v>0</v>
      </c>
    </row>
    <row r="389" spans="1:7" s="8" customFormat="1">
      <c r="A389" s="32" t="s">
        <v>133</v>
      </c>
      <c r="B389" s="106" t="s">
        <v>886</v>
      </c>
      <c r="C389" s="107"/>
      <c r="D389" s="107"/>
      <c r="E389" s="107"/>
      <c r="F389" s="108"/>
      <c r="G389" s="62">
        <f>SUM(G390:G397)</f>
        <v>0</v>
      </c>
    </row>
    <row r="390" spans="1:7" s="8" customFormat="1">
      <c r="A390" s="15" t="s">
        <v>135</v>
      </c>
      <c r="B390" s="10" t="s">
        <v>866</v>
      </c>
      <c r="C390" s="11" t="s">
        <v>867</v>
      </c>
      <c r="D390" s="16" t="s">
        <v>52</v>
      </c>
      <c r="E390" s="17">
        <v>250</v>
      </c>
      <c r="F390" s="17"/>
      <c r="G390" s="59">
        <f t="shared" si="23"/>
        <v>0</v>
      </c>
    </row>
    <row r="391" spans="1:7" s="8" customFormat="1" ht="38.25">
      <c r="A391" s="15" t="s">
        <v>152</v>
      </c>
      <c r="B391" s="10" t="s">
        <v>868</v>
      </c>
      <c r="C391" s="11" t="s">
        <v>870</v>
      </c>
      <c r="D391" s="16" t="s">
        <v>52</v>
      </c>
      <c r="E391" s="17">
        <v>100</v>
      </c>
      <c r="F391" s="17"/>
      <c r="G391" s="59">
        <f t="shared" si="23"/>
        <v>0</v>
      </c>
    </row>
    <row r="392" spans="1:7" s="8" customFormat="1" ht="38.25">
      <c r="A392" s="15" t="s">
        <v>200</v>
      </c>
      <c r="B392" s="10" t="s">
        <v>868</v>
      </c>
      <c r="C392" s="11" t="s">
        <v>870</v>
      </c>
      <c r="D392" s="16" t="s">
        <v>52</v>
      </c>
      <c r="E392" s="17">
        <v>150</v>
      </c>
      <c r="F392" s="17"/>
      <c r="G392" s="59">
        <f t="shared" si="23"/>
        <v>0</v>
      </c>
    </row>
    <row r="393" spans="1:7" s="8" customFormat="1">
      <c r="A393" s="15" t="s">
        <v>887</v>
      </c>
      <c r="B393" s="10" t="s">
        <v>888</v>
      </c>
      <c r="C393" s="11" t="s">
        <v>889</v>
      </c>
      <c r="D393" s="16" t="s">
        <v>52</v>
      </c>
      <c r="E393" s="17">
        <v>30</v>
      </c>
      <c r="F393" s="17"/>
      <c r="G393" s="59">
        <f t="shared" si="23"/>
        <v>0</v>
      </c>
    </row>
    <row r="394" spans="1:7" s="8" customFormat="1" ht="38.25">
      <c r="A394" s="15" t="s">
        <v>890</v>
      </c>
      <c r="B394" s="10" t="s">
        <v>891</v>
      </c>
      <c r="C394" s="11" t="s">
        <v>892</v>
      </c>
      <c r="D394" s="16" t="s">
        <v>52</v>
      </c>
      <c r="E394" s="17">
        <v>30</v>
      </c>
      <c r="F394" s="17"/>
      <c r="G394" s="59">
        <f t="shared" si="23"/>
        <v>0</v>
      </c>
    </row>
    <row r="395" spans="1:7" s="8" customFormat="1" ht="25.5">
      <c r="A395" s="15" t="s">
        <v>893</v>
      </c>
      <c r="B395" s="10" t="s">
        <v>894</v>
      </c>
      <c r="C395" s="11" t="s">
        <v>895</v>
      </c>
      <c r="D395" s="16" t="s">
        <v>52</v>
      </c>
      <c r="E395" s="17">
        <v>50</v>
      </c>
      <c r="F395" s="17"/>
      <c r="G395" s="59">
        <f t="shared" si="23"/>
        <v>0</v>
      </c>
    </row>
    <row r="396" spans="1:7" s="8" customFormat="1" ht="25.5">
      <c r="A396" s="15" t="s">
        <v>896</v>
      </c>
      <c r="B396" s="10" t="s">
        <v>897</v>
      </c>
      <c r="C396" s="11" t="s">
        <v>898</v>
      </c>
      <c r="D396" s="16" t="s">
        <v>52</v>
      </c>
      <c r="E396" s="17">
        <v>50</v>
      </c>
      <c r="F396" s="17"/>
      <c r="G396" s="59">
        <f t="shared" si="23"/>
        <v>0</v>
      </c>
    </row>
    <row r="397" spans="1:7" s="8" customFormat="1" ht="25.5">
      <c r="A397" s="15" t="s">
        <v>899</v>
      </c>
      <c r="B397" s="10" t="s">
        <v>882</v>
      </c>
      <c r="C397" s="11" t="s">
        <v>883</v>
      </c>
      <c r="D397" s="16" t="s">
        <v>84</v>
      </c>
      <c r="E397" s="17">
        <v>4</v>
      </c>
      <c r="F397" s="17"/>
      <c r="G397" s="59">
        <f t="shared" si="23"/>
        <v>0</v>
      </c>
    </row>
    <row r="398" spans="1:7" s="8" customFormat="1">
      <c r="A398" s="32" t="s">
        <v>232</v>
      </c>
      <c r="B398" s="106" t="s">
        <v>900</v>
      </c>
      <c r="C398" s="107"/>
      <c r="D398" s="107"/>
      <c r="E398" s="107"/>
      <c r="F398" s="108"/>
      <c r="G398" s="62">
        <f>SUM(G399:G407)</f>
        <v>0</v>
      </c>
    </row>
    <row r="399" spans="1:7" s="8" customFormat="1">
      <c r="A399" s="15" t="s">
        <v>234</v>
      </c>
      <c r="B399" s="10" t="s">
        <v>901</v>
      </c>
      <c r="C399" s="11" t="s">
        <v>902</v>
      </c>
      <c r="D399" s="16" t="s">
        <v>84</v>
      </c>
      <c r="E399" s="17">
        <v>1</v>
      </c>
      <c r="F399" s="17"/>
      <c r="G399" s="59">
        <f t="shared" si="23"/>
        <v>0</v>
      </c>
    </row>
    <row r="400" spans="1:7" s="8" customFormat="1">
      <c r="A400" s="15" t="s">
        <v>244</v>
      </c>
      <c r="B400" s="10" t="s">
        <v>901</v>
      </c>
      <c r="C400" s="11" t="s">
        <v>903</v>
      </c>
      <c r="D400" s="16" t="s">
        <v>84</v>
      </c>
      <c r="E400" s="17">
        <v>15</v>
      </c>
      <c r="F400" s="17"/>
      <c r="G400" s="59">
        <f t="shared" si="23"/>
        <v>0</v>
      </c>
    </row>
    <row r="401" spans="1:7" s="8" customFormat="1" ht="38.25">
      <c r="A401" s="15" t="s">
        <v>263</v>
      </c>
      <c r="B401" s="10" t="s">
        <v>846</v>
      </c>
      <c r="C401" s="11" t="s">
        <v>847</v>
      </c>
      <c r="D401" s="16" t="s">
        <v>84</v>
      </c>
      <c r="E401" s="17">
        <v>15</v>
      </c>
      <c r="F401" s="17"/>
      <c r="G401" s="59">
        <f t="shared" si="23"/>
        <v>0</v>
      </c>
    </row>
    <row r="402" spans="1:7" s="8" customFormat="1">
      <c r="A402" s="15" t="s">
        <v>904</v>
      </c>
      <c r="B402" s="10" t="s">
        <v>852</v>
      </c>
      <c r="C402" s="11" t="s">
        <v>853</v>
      </c>
      <c r="D402" s="16" t="s">
        <v>84</v>
      </c>
      <c r="E402" s="17">
        <v>15</v>
      </c>
      <c r="F402" s="17"/>
      <c r="G402" s="59">
        <f t="shared" si="23"/>
        <v>0</v>
      </c>
    </row>
    <row r="403" spans="1:7" s="8" customFormat="1">
      <c r="A403" s="15" t="s">
        <v>905</v>
      </c>
      <c r="B403" s="10" t="s">
        <v>906</v>
      </c>
      <c r="C403" s="11" t="s">
        <v>907</v>
      </c>
      <c r="D403" s="16" t="s">
        <v>84</v>
      </c>
      <c r="E403" s="17">
        <v>55</v>
      </c>
      <c r="F403" s="17"/>
      <c r="G403" s="59">
        <f t="shared" si="23"/>
        <v>0</v>
      </c>
    </row>
    <row r="404" spans="1:7" s="8" customFormat="1" ht="38.25">
      <c r="A404" s="15" t="s">
        <v>908</v>
      </c>
      <c r="B404" s="10" t="s">
        <v>909</v>
      </c>
      <c r="C404" s="11" t="s">
        <v>910</v>
      </c>
      <c r="D404" s="16" t="s">
        <v>52</v>
      </c>
      <c r="E404" s="17">
        <v>20</v>
      </c>
      <c r="F404" s="17"/>
      <c r="G404" s="59">
        <f t="shared" si="23"/>
        <v>0</v>
      </c>
    </row>
    <row r="405" spans="1:7" s="8" customFormat="1">
      <c r="A405" s="15" t="s">
        <v>911</v>
      </c>
      <c r="B405" s="10" t="s">
        <v>866</v>
      </c>
      <c r="C405" s="11" t="s">
        <v>867</v>
      </c>
      <c r="D405" s="16" t="s">
        <v>52</v>
      </c>
      <c r="E405" s="17">
        <v>500</v>
      </c>
      <c r="F405" s="17"/>
      <c r="G405" s="59">
        <f t="shared" si="23"/>
        <v>0</v>
      </c>
    </row>
    <row r="406" spans="1:7" s="8" customFormat="1" ht="38.25">
      <c r="A406" s="15" t="s">
        <v>912</v>
      </c>
      <c r="B406" s="10" t="s">
        <v>891</v>
      </c>
      <c r="C406" s="11" t="s">
        <v>913</v>
      </c>
      <c r="D406" s="16" t="s">
        <v>52</v>
      </c>
      <c r="E406" s="17">
        <v>100</v>
      </c>
      <c r="F406" s="17"/>
      <c r="G406" s="59">
        <f t="shared" si="23"/>
        <v>0</v>
      </c>
    </row>
    <row r="407" spans="1:7" s="8" customFormat="1" ht="38.25">
      <c r="A407" s="15" t="s">
        <v>914</v>
      </c>
      <c r="B407" s="10" t="s">
        <v>915</v>
      </c>
      <c r="C407" s="11" t="s">
        <v>916</v>
      </c>
      <c r="D407" s="16" t="s">
        <v>52</v>
      </c>
      <c r="E407" s="17">
        <v>400</v>
      </c>
      <c r="F407" s="17"/>
      <c r="G407" s="59">
        <f t="shared" si="23"/>
        <v>0</v>
      </c>
    </row>
    <row r="408" spans="1:7" s="8" customFormat="1">
      <c r="A408" s="32" t="s">
        <v>275</v>
      </c>
      <c r="B408" s="106" t="s">
        <v>917</v>
      </c>
      <c r="C408" s="107"/>
      <c r="D408" s="107"/>
      <c r="E408" s="107"/>
      <c r="F408" s="108"/>
      <c r="G408" s="62">
        <f>G409+G411+G417</f>
        <v>0</v>
      </c>
    </row>
    <row r="409" spans="1:7" s="8" customFormat="1">
      <c r="A409" s="18" t="s">
        <v>276</v>
      </c>
      <c r="B409" s="102" t="s">
        <v>918</v>
      </c>
      <c r="C409" s="103"/>
      <c r="D409" s="103"/>
      <c r="E409" s="103"/>
      <c r="F409" s="104"/>
      <c r="G409" s="64">
        <f>SUM(G410)</f>
        <v>0</v>
      </c>
    </row>
    <row r="410" spans="1:7" s="8" customFormat="1">
      <c r="A410" s="15" t="s">
        <v>919</v>
      </c>
      <c r="B410" s="10" t="s">
        <v>860</v>
      </c>
      <c r="C410" s="11" t="s">
        <v>920</v>
      </c>
      <c r="D410" s="16" t="s">
        <v>84</v>
      </c>
      <c r="E410" s="17">
        <v>2</v>
      </c>
      <c r="F410" s="17"/>
      <c r="G410" s="59">
        <f t="shared" ref="G410:G482" si="24">E410*F410</f>
        <v>0</v>
      </c>
    </row>
    <row r="411" spans="1:7" s="8" customFormat="1">
      <c r="A411" s="18" t="s">
        <v>279</v>
      </c>
      <c r="B411" s="102" t="s">
        <v>921</v>
      </c>
      <c r="C411" s="103"/>
      <c r="D411" s="103"/>
      <c r="E411" s="103"/>
      <c r="F411" s="104"/>
      <c r="G411" s="64">
        <f>SUM(G412:G416)</f>
        <v>0</v>
      </c>
    </row>
    <row r="412" spans="1:7" s="8" customFormat="1">
      <c r="A412" s="15" t="s">
        <v>922</v>
      </c>
      <c r="B412" s="10" t="s">
        <v>923</v>
      </c>
      <c r="C412" s="11" t="s">
        <v>924</v>
      </c>
      <c r="D412" s="16" t="s">
        <v>52</v>
      </c>
      <c r="E412" s="17">
        <v>80</v>
      </c>
      <c r="F412" s="17"/>
      <c r="G412" s="59">
        <f t="shared" si="24"/>
        <v>0</v>
      </c>
    </row>
    <row r="413" spans="1:7" s="8" customFormat="1" ht="25.5">
      <c r="A413" s="15" t="s">
        <v>925</v>
      </c>
      <c r="B413" s="10" t="s">
        <v>926</v>
      </c>
      <c r="C413" s="11" t="s">
        <v>927</v>
      </c>
      <c r="D413" s="16" t="s">
        <v>52</v>
      </c>
      <c r="E413" s="17">
        <v>80</v>
      </c>
      <c r="F413" s="17"/>
      <c r="G413" s="59">
        <f t="shared" si="24"/>
        <v>0</v>
      </c>
    </row>
    <row r="414" spans="1:7" s="8" customFormat="1" ht="38.25">
      <c r="A414" s="15" t="s">
        <v>928</v>
      </c>
      <c r="B414" s="10" t="s">
        <v>929</v>
      </c>
      <c r="C414" s="11" t="s">
        <v>930</v>
      </c>
      <c r="D414" s="16" t="s">
        <v>84</v>
      </c>
      <c r="E414" s="17">
        <f>2*2</f>
        <v>4</v>
      </c>
      <c r="F414" s="17"/>
      <c r="G414" s="59">
        <f t="shared" si="24"/>
        <v>0</v>
      </c>
    </row>
    <row r="415" spans="1:7" s="8" customFormat="1">
      <c r="A415" s="15" t="s">
        <v>931</v>
      </c>
      <c r="B415" s="10" t="s">
        <v>888</v>
      </c>
      <c r="C415" s="11" t="s">
        <v>889</v>
      </c>
      <c r="D415" s="16" t="s">
        <v>52</v>
      </c>
      <c r="E415" s="17">
        <v>10</v>
      </c>
      <c r="F415" s="17"/>
      <c r="G415" s="59">
        <f t="shared" si="24"/>
        <v>0</v>
      </c>
    </row>
    <row r="416" spans="1:7" s="8" customFormat="1" ht="38.25">
      <c r="A416" s="15" t="s">
        <v>932</v>
      </c>
      <c r="B416" s="10" t="s">
        <v>891</v>
      </c>
      <c r="C416" s="11" t="s">
        <v>933</v>
      </c>
      <c r="D416" s="16" t="s">
        <v>52</v>
      </c>
      <c r="E416" s="17">
        <v>10</v>
      </c>
      <c r="F416" s="17"/>
      <c r="G416" s="59">
        <f t="shared" si="24"/>
        <v>0</v>
      </c>
    </row>
    <row r="417" spans="1:7" s="8" customFormat="1">
      <c r="A417" s="18" t="s">
        <v>281</v>
      </c>
      <c r="B417" s="45" t="s">
        <v>934</v>
      </c>
      <c r="C417" s="19"/>
      <c r="D417" s="46"/>
      <c r="E417" s="46"/>
      <c r="F417" s="20"/>
      <c r="G417" s="64">
        <f>SUM(G418:G421)</f>
        <v>0</v>
      </c>
    </row>
    <row r="418" spans="1:7" s="8" customFormat="1" ht="38.25">
      <c r="A418" s="15" t="s">
        <v>935</v>
      </c>
      <c r="B418" s="10" t="s">
        <v>936</v>
      </c>
      <c r="C418" s="11" t="s">
        <v>937</v>
      </c>
      <c r="D418" s="16" t="s">
        <v>11</v>
      </c>
      <c r="E418" s="17">
        <v>0.1</v>
      </c>
      <c r="F418" s="17"/>
      <c r="G418" s="59">
        <f t="shared" si="24"/>
        <v>0</v>
      </c>
    </row>
    <row r="419" spans="1:7" s="8" customFormat="1">
      <c r="A419" s="15" t="s">
        <v>938</v>
      </c>
      <c r="B419" s="10" t="s">
        <v>939</v>
      </c>
      <c r="C419" s="11" t="s">
        <v>940</v>
      </c>
      <c r="D419" s="16" t="s">
        <v>84</v>
      </c>
      <c r="E419" s="17">
        <v>1</v>
      </c>
      <c r="F419" s="17"/>
      <c r="G419" s="59">
        <f t="shared" si="24"/>
        <v>0</v>
      </c>
    </row>
    <row r="420" spans="1:7" s="8" customFormat="1">
      <c r="A420" s="15" t="s">
        <v>941</v>
      </c>
      <c r="B420" s="10" t="s">
        <v>939</v>
      </c>
      <c r="C420" s="11" t="s">
        <v>940</v>
      </c>
      <c r="D420" s="16" t="s">
        <v>84</v>
      </c>
      <c r="E420" s="17">
        <v>1</v>
      </c>
      <c r="F420" s="17"/>
      <c r="G420" s="59">
        <f t="shared" si="24"/>
        <v>0</v>
      </c>
    </row>
    <row r="421" spans="1:7" s="8" customFormat="1" ht="25.5">
      <c r="A421" s="15" t="s">
        <v>942</v>
      </c>
      <c r="B421" s="10" t="s">
        <v>943</v>
      </c>
      <c r="C421" s="11" t="s">
        <v>944</v>
      </c>
      <c r="D421" s="16" t="s">
        <v>509</v>
      </c>
      <c r="E421" s="17">
        <v>8</v>
      </c>
      <c r="F421" s="17"/>
      <c r="G421" s="59">
        <f t="shared" si="24"/>
        <v>0</v>
      </c>
    </row>
    <row r="422" spans="1:7" s="8" customFormat="1">
      <c r="A422" s="32" t="s">
        <v>301</v>
      </c>
      <c r="B422" s="106" t="s">
        <v>945</v>
      </c>
      <c r="C422" s="107"/>
      <c r="D422" s="107"/>
      <c r="E422" s="107"/>
      <c r="F422" s="108"/>
      <c r="G422" s="62">
        <f>SUM(G423:G449)</f>
        <v>0</v>
      </c>
    </row>
    <row r="423" spans="1:7" s="8" customFormat="1" ht="38.25">
      <c r="A423" s="15" t="s">
        <v>302</v>
      </c>
      <c r="B423" s="10" t="s">
        <v>846</v>
      </c>
      <c r="C423" s="11" t="s">
        <v>847</v>
      </c>
      <c r="D423" s="16" t="s">
        <v>84</v>
      </c>
      <c r="E423" s="17">
        <v>43</v>
      </c>
      <c r="F423" s="17"/>
      <c r="G423" s="59">
        <f t="shared" si="24"/>
        <v>0</v>
      </c>
    </row>
    <row r="424" spans="1:7" s="8" customFormat="1">
      <c r="A424" s="15" t="s">
        <v>305</v>
      </c>
      <c r="B424" s="10" t="s">
        <v>852</v>
      </c>
      <c r="C424" s="11" t="s">
        <v>853</v>
      </c>
      <c r="D424" s="16" t="s">
        <v>84</v>
      </c>
      <c r="E424" s="17">
        <v>100</v>
      </c>
      <c r="F424" s="17"/>
      <c r="G424" s="59">
        <f t="shared" si="24"/>
        <v>0</v>
      </c>
    </row>
    <row r="425" spans="1:7" s="8" customFormat="1">
      <c r="A425" s="15" t="s">
        <v>306</v>
      </c>
      <c r="B425" s="10" t="s">
        <v>946</v>
      </c>
      <c r="C425" s="11" t="s">
        <v>947</v>
      </c>
      <c r="D425" s="16" t="s">
        <v>84</v>
      </c>
      <c r="E425" s="17">
        <v>100</v>
      </c>
      <c r="F425" s="17"/>
      <c r="G425" s="59">
        <f t="shared" si="24"/>
        <v>0</v>
      </c>
    </row>
    <row r="426" spans="1:7" s="8" customFormat="1" ht="38.25">
      <c r="A426" s="15" t="s">
        <v>308</v>
      </c>
      <c r="B426" s="10" t="s">
        <v>948</v>
      </c>
      <c r="C426" s="11" t="s">
        <v>949</v>
      </c>
      <c r="D426" s="16" t="s">
        <v>84</v>
      </c>
      <c r="E426" s="17">
        <v>100</v>
      </c>
      <c r="F426" s="17"/>
      <c r="G426" s="59">
        <f t="shared" si="24"/>
        <v>0</v>
      </c>
    </row>
    <row r="427" spans="1:7" s="8" customFormat="1" ht="38.25">
      <c r="A427" s="15" t="s">
        <v>309</v>
      </c>
      <c r="B427" s="10" t="s">
        <v>950</v>
      </c>
      <c r="C427" s="11" t="s">
        <v>1526</v>
      </c>
      <c r="D427" s="16" t="s">
        <v>461</v>
      </c>
      <c r="E427" s="17">
        <v>1</v>
      </c>
      <c r="F427" s="17"/>
      <c r="G427" s="59">
        <f t="shared" si="24"/>
        <v>0</v>
      </c>
    </row>
    <row r="428" spans="1:7" s="8" customFormat="1">
      <c r="A428" s="15" t="s">
        <v>311</v>
      </c>
      <c r="B428" s="10" t="s">
        <v>953</v>
      </c>
      <c r="C428" s="11" t="s">
        <v>1520</v>
      </c>
      <c r="D428" s="16" t="s">
        <v>461</v>
      </c>
      <c r="E428" s="17">
        <v>1</v>
      </c>
      <c r="F428" s="17"/>
      <c r="G428" s="59">
        <f t="shared" si="24"/>
        <v>0</v>
      </c>
    </row>
    <row r="429" spans="1:7" s="8" customFormat="1">
      <c r="A429" s="15" t="s">
        <v>314</v>
      </c>
      <c r="B429" s="10" t="s">
        <v>953</v>
      </c>
      <c r="C429" s="11" t="s">
        <v>1508</v>
      </c>
      <c r="D429" s="16" t="s">
        <v>461</v>
      </c>
      <c r="E429" s="17">
        <v>3</v>
      </c>
      <c r="F429" s="17"/>
      <c r="G429" s="59">
        <f t="shared" si="24"/>
        <v>0</v>
      </c>
    </row>
    <row r="430" spans="1:7" s="8" customFormat="1" ht="25.5">
      <c r="A430" s="15" t="s">
        <v>316</v>
      </c>
      <c r="B430" s="10" t="s">
        <v>953</v>
      </c>
      <c r="C430" s="11" t="s">
        <v>1528</v>
      </c>
      <c r="D430" s="16" t="s">
        <v>461</v>
      </c>
      <c r="E430" s="17">
        <v>2</v>
      </c>
      <c r="F430" s="17"/>
      <c r="G430" s="59">
        <f t="shared" si="24"/>
        <v>0</v>
      </c>
    </row>
    <row r="431" spans="1:7" s="8" customFormat="1" ht="25.5">
      <c r="A431" s="15" t="s">
        <v>318</v>
      </c>
      <c r="B431" s="10" t="s">
        <v>953</v>
      </c>
      <c r="C431" s="11" t="s">
        <v>1529</v>
      </c>
      <c r="D431" s="16" t="s">
        <v>461</v>
      </c>
      <c r="E431" s="17">
        <v>1</v>
      </c>
      <c r="F431" s="17"/>
      <c r="G431" s="59">
        <f t="shared" si="24"/>
        <v>0</v>
      </c>
    </row>
    <row r="432" spans="1:7" s="8" customFormat="1" ht="25.5">
      <c r="A432" s="15" t="s">
        <v>320</v>
      </c>
      <c r="B432" s="10" t="s">
        <v>953</v>
      </c>
      <c r="C432" s="11" t="s">
        <v>1515</v>
      </c>
      <c r="D432" s="16" t="s">
        <v>461</v>
      </c>
      <c r="E432" s="17">
        <v>4</v>
      </c>
      <c r="F432" s="17"/>
      <c r="G432" s="59">
        <f t="shared" si="24"/>
        <v>0</v>
      </c>
    </row>
    <row r="433" spans="1:7" s="8" customFormat="1" ht="25.5">
      <c r="A433" s="15" t="s">
        <v>322</v>
      </c>
      <c r="B433" s="10" t="s">
        <v>953</v>
      </c>
      <c r="C433" s="11" t="s">
        <v>1516</v>
      </c>
      <c r="D433" s="16" t="s">
        <v>461</v>
      </c>
      <c r="E433" s="17">
        <v>100</v>
      </c>
      <c r="F433" s="17"/>
      <c r="G433" s="59">
        <f t="shared" si="24"/>
        <v>0</v>
      </c>
    </row>
    <row r="434" spans="1:7" s="8" customFormat="1" ht="25.5">
      <c r="A434" s="15" t="s">
        <v>960</v>
      </c>
      <c r="B434" s="10" t="s">
        <v>953</v>
      </c>
      <c r="C434" s="11" t="s">
        <v>1517</v>
      </c>
      <c r="D434" s="16" t="s">
        <v>461</v>
      </c>
      <c r="E434" s="17">
        <v>1</v>
      </c>
      <c r="F434" s="17"/>
      <c r="G434" s="59">
        <f t="shared" si="24"/>
        <v>0</v>
      </c>
    </row>
    <row r="435" spans="1:7" s="8" customFormat="1">
      <c r="A435" s="15" t="s">
        <v>963</v>
      </c>
      <c r="B435" s="10" t="s">
        <v>953</v>
      </c>
      <c r="C435" s="11" t="s">
        <v>1527</v>
      </c>
      <c r="D435" s="16" t="s">
        <v>461</v>
      </c>
      <c r="E435" s="17">
        <v>2</v>
      </c>
      <c r="F435" s="17"/>
      <c r="G435" s="59">
        <f t="shared" si="24"/>
        <v>0</v>
      </c>
    </row>
    <row r="436" spans="1:7" s="8" customFormat="1">
      <c r="A436" s="15" t="s">
        <v>967</v>
      </c>
      <c r="B436" s="10" t="s">
        <v>953</v>
      </c>
      <c r="C436" s="11" t="s">
        <v>1509</v>
      </c>
      <c r="D436" s="16" t="s">
        <v>461</v>
      </c>
      <c r="E436" s="17">
        <v>1</v>
      </c>
      <c r="F436" s="17"/>
      <c r="G436" s="59">
        <f t="shared" si="24"/>
        <v>0</v>
      </c>
    </row>
    <row r="437" spans="1:7" s="8" customFormat="1" ht="25.5">
      <c r="A437" s="15" t="s">
        <v>968</v>
      </c>
      <c r="B437" s="10" t="s">
        <v>953</v>
      </c>
      <c r="C437" s="11" t="s">
        <v>1510</v>
      </c>
      <c r="D437" s="16" t="s">
        <v>461</v>
      </c>
      <c r="E437" s="17">
        <v>1</v>
      </c>
      <c r="F437" s="17"/>
      <c r="G437" s="59">
        <f t="shared" si="24"/>
        <v>0</v>
      </c>
    </row>
    <row r="438" spans="1:7" s="8" customFormat="1">
      <c r="A438" s="15" t="s">
        <v>971</v>
      </c>
      <c r="B438" s="10" t="s">
        <v>951</v>
      </c>
      <c r="C438" s="11" t="s">
        <v>952</v>
      </c>
      <c r="D438" s="16" t="s">
        <v>84</v>
      </c>
      <c r="E438" s="17">
        <v>2</v>
      </c>
      <c r="F438" s="17"/>
      <c r="G438" s="59">
        <f t="shared" si="24"/>
        <v>0</v>
      </c>
    </row>
    <row r="439" spans="1:7" s="8" customFormat="1" ht="63.75">
      <c r="A439" s="15" t="s">
        <v>972</v>
      </c>
      <c r="B439" s="10" t="s">
        <v>953</v>
      </c>
      <c r="C439" s="92" t="s">
        <v>1530</v>
      </c>
      <c r="D439" s="16" t="s">
        <v>197</v>
      </c>
      <c r="E439" s="17">
        <v>2</v>
      </c>
      <c r="F439" s="17"/>
      <c r="G439" s="59">
        <f t="shared" si="24"/>
        <v>0</v>
      </c>
    </row>
    <row r="440" spans="1:7" s="8" customFormat="1" ht="25.5">
      <c r="A440" s="15" t="s">
        <v>975</v>
      </c>
      <c r="B440" s="10" t="s">
        <v>954</v>
      </c>
      <c r="C440" s="11" t="s">
        <v>1524</v>
      </c>
      <c r="D440" s="16" t="s">
        <v>52</v>
      </c>
      <c r="E440" s="17">
        <v>100</v>
      </c>
      <c r="F440" s="17"/>
      <c r="G440" s="59">
        <f t="shared" si="24"/>
        <v>0</v>
      </c>
    </row>
    <row r="441" spans="1:7" s="8" customFormat="1" ht="38.25">
      <c r="A441" s="15" t="s">
        <v>1225</v>
      </c>
      <c r="B441" s="10" t="s">
        <v>956</v>
      </c>
      <c r="C441" s="11" t="s">
        <v>1523</v>
      </c>
      <c r="D441" s="16" t="s">
        <v>52</v>
      </c>
      <c r="E441" s="17">
        <v>100</v>
      </c>
      <c r="F441" s="17"/>
      <c r="G441" s="59">
        <f t="shared" si="24"/>
        <v>0</v>
      </c>
    </row>
    <row r="442" spans="1:7" s="8" customFormat="1" ht="25.5">
      <c r="A442" s="15" t="s">
        <v>1226</v>
      </c>
      <c r="B442" s="10" t="s">
        <v>958</v>
      </c>
      <c r="C442" s="11" t="s">
        <v>959</v>
      </c>
      <c r="D442" s="16" t="s">
        <v>52</v>
      </c>
      <c r="E442" s="17">
        <v>100</v>
      </c>
      <c r="F442" s="17"/>
      <c r="G442" s="59">
        <f t="shared" si="24"/>
        <v>0</v>
      </c>
    </row>
    <row r="443" spans="1:7" s="8" customFormat="1" ht="25.5">
      <c r="A443" s="15" t="s">
        <v>1503</v>
      </c>
      <c r="B443" s="10" t="s">
        <v>961</v>
      </c>
      <c r="C443" s="11" t="s">
        <v>962</v>
      </c>
      <c r="D443" s="16" t="s">
        <v>84</v>
      </c>
      <c r="E443" s="17">
        <f>2*2</f>
        <v>4</v>
      </c>
      <c r="F443" s="17"/>
      <c r="G443" s="59">
        <f t="shared" si="24"/>
        <v>0</v>
      </c>
    </row>
    <row r="444" spans="1:7" s="8" customFormat="1" ht="25.5">
      <c r="A444" s="15" t="s">
        <v>1504</v>
      </c>
      <c r="B444" s="10" t="s">
        <v>964</v>
      </c>
      <c r="C444" s="11" t="s">
        <v>965</v>
      </c>
      <c r="D444" s="16" t="s">
        <v>966</v>
      </c>
      <c r="E444" s="17">
        <v>2</v>
      </c>
      <c r="F444" s="17"/>
      <c r="G444" s="59">
        <f t="shared" si="24"/>
        <v>0</v>
      </c>
    </row>
    <row r="445" spans="1:7" s="8" customFormat="1">
      <c r="A445" s="15" t="s">
        <v>1505</v>
      </c>
      <c r="B445" s="10" t="s">
        <v>866</v>
      </c>
      <c r="C445" s="11" t="s">
        <v>867</v>
      </c>
      <c r="D445" s="16" t="s">
        <v>52</v>
      </c>
      <c r="E445" s="17">
        <v>100</v>
      </c>
      <c r="F445" s="17"/>
      <c r="G445" s="59">
        <f t="shared" si="24"/>
        <v>0</v>
      </c>
    </row>
    <row r="446" spans="1:7" s="8" customFormat="1" ht="25.5">
      <c r="A446" s="15" t="s">
        <v>1506</v>
      </c>
      <c r="B446" s="10" t="s">
        <v>969</v>
      </c>
      <c r="C446" s="11" t="s">
        <v>970</v>
      </c>
      <c r="D446" s="16" t="s">
        <v>52</v>
      </c>
      <c r="E446" s="17">
        <v>100</v>
      </c>
      <c r="F446" s="17"/>
      <c r="G446" s="59">
        <f t="shared" si="24"/>
        <v>0</v>
      </c>
    </row>
    <row r="447" spans="1:7" s="8" customFormat="1" ht="25.5">
      <c r="A447" s="15" t="s">
        <v>1507</v>
      </c>
      <c r="B447" s="10" t="s">
        <v>888</v>
      </c>
      <c r="C447" s="11" t="s">
        <v>1521</v>
      </c>
      <c r="D447" s="16" t="s">
        <v>52</v>
      </c>
      <c r="E447" s="17">
        <v>1600</v>
      </c>
      <c r="F447" s="17"/>
      <c r="G447" s="59">
        <f t="shared" si="24"/>
        <v>0</v>
      </c>
    </row>
    <row r="448" spans="1:7" s="8" customFormat="1" ht="38.25">
      <c r="A448" s="15" t="s">
        <v>1518</v>
      </c>
      <c r="B448" s="10" t="s">
        <v>973</v>
      </c>
      <c r="C448" s="11" t="s">
        <v>1522</v>
      </c>
      <c r="D448" s="16" t="s">
        <v>52</v>
      </c>
      <c r="E448" s="17">
        <v>3200</v>
      </c>
      <c r="F448" s="17"/>
      <c r="G448" s="59">
        <f t="shared" si="24"/>
        <v>0</v>
      </c>
    </row>
    <row r="449" spans="1:7" s="8" customFormat="1" ht="25.5">
      <c r="A449" s="15" t="s">
        <v>1519</v>
      </c>
      <c r="B449" s="10" t="s">
        <v>976</v>
      </c>
      <c r="C449" s="11" t="s">
        <v>977</v>
      </c>
      <c r="D449" s="16" t="s">
        <v>966</v>
      </c>
      <c r="E449" s="17">
        <v>100</v>
      </c>
      <c r="F449" s="17"/>
      <c r="G449" s="59">
        <f t="shared" si="24"/>
        <v>0</v>
      </c>
    </row>
    <row r="450" spans="1:7" s="8" customFormat="1">
      <c r="A450" s="32" t="s">
        <v>324</v>
      </c>
      <c r="B450" s="106" t="s">
        <v>978</v>
      </c>
      <c r="C450" s="107"/>
      <c r="D450" s="107"/>
      <c r="E450" s="107"/>
      <c r="F450" s="108"/>
      <c r="G450" s="62">
        <f>SUM(G451:G465)</f>
        <v>0</v>
      </c>
    </row>
    <row r="451" spans="1:7" s="8" customFormat="1" ht="25.5">
      <c r="A451" s="15" t="s">
        <v>326</v>
      </c>
      <c r="B451" s="10" t="s">
        <v>979</v>
      </c>
      <c r="C451" s="11" t="s">
        <v>1502</v>
      </c>
      <c r="D451" s="16" t="s">
        <v>461</v>
      </c>
      <c r="E451" s="17">
        <v>2</v>
      </c>
      <c r="F451" s="17"/>
      <c r="G451" s="59">
        <f t="shared" si="24"/>
        <v>0</v>
      </c>
    </row>
    <row r="452" spans="1:7" s="8" customFormat="1">
      <c r="A452" s="15" t="s">
        <v>329</v>
      </c>
      <c r="B452" s="10" t="s">
        <v>888</v>
      </c>
      <c r="C452" s="11" t="s">
        <v>889</v>
      </c>
      <c r="D452" s="16" t="s">
        <v>52</v>
      </c>
      <c r="E452" s="17">
        <v>130</v>
      </c>
      <c r="F452" s="17"/>
      <c r="G452" s="59">
        <f t="shared" si="24"/>
        <v>0</v>
      </c>
    </row>
    <row r="453" spans="1:7" s="8" customFormat="1" ht="25.5">
      <c r="A453" s="15" t="s">
        <v>330</v>
      </c>
      <c r="B453" s="10" t="s">
        <v>980</v>
      </c>
      <c r="C453" s="11" t="s">
        <v>981</v>
      </c>
      <c r="D453" s="16" t="s">
        <v>52</v>
      </c>
      <c r="E453" s="17">
        <v>130</v>
      </c>
      <c r="F453" s="17"/>
      <c r="G453" s="59">
        <f t="shared" si="24"/>
        <v>0</v>
      </c>
    </row>
    <row r="454" spans="1:7" s="8" customFormat="1" ht="25.5">
      <c r="A454" s="15" t="s">
        <v>331</v>
      </c>
      <c r="B454" s="10" t="s">
        <v>958</v>
      </c>
      <c r="C454" s="11" t="s">
        <v>959</v>
      </c>
      <c r="D454" s="16" t="s">
        <v>52</v>
      </c>
      <c r="E454" s="17">
        <v>120</v>
      </c>
      <c r="F454" s="17"/>
      <c r="G454" s="59">
        <f t="shared" si="24"/>
        <v>0</v>
      </c>
    </row>
    <row r="455" spans="1:7" s="8" customFormat="1" ht="25.5">
      <c r="A455" s="15" t="s">
        <v>332</v>
      </c>
      <c r="B455" s="10" t="s">
        <v>958</v>
      </c>
      <c r="C455" s="11" t="s">
        <v>959</v>
      </c>
      <c r="D455" s="16" t="s">
        <v>52</v>
      </c>
      <c r="E455" s="17">
        <v>70</v>
      </c>
      <c r="F455" s="17"/>
      <c r="G455" s="59">
        <f t="shared" si="24"/>
        <v>0</v>
      </c>
    </row>
    <row r="456" spans="1:7" s="8" customFormat="1" ht="38.25">
      <c r="A456" s="15" t="s">
        <v>333</v>
      </c>
      <c r="B456" s="10" t="s">
        <v>982</v>
      </c>
      <c r="C456" s="11" t="s">
        <v>983</v>
      </c>
      <c r="D456" s="16" t="s">
        <v>984</v>
      </c>
      <c r="E456" s="17">
        <f>2*4</f>
        <v>8</v>
      </c>
      <c r="F456" s="17"/>
      <c r="G456" s="59">
        <f t="shared" si="24"/>
        <v>0</v>
      </c>
    </row>
    <row r="457" spans="1:7" s="8" customFormat="1" ht="38.25">
      <c r="A457" s="15" t="s">
        <v>336</v>
      </c>
      <c r="B457" s="10" t="s">
        <v>985</v>
      </c>
      <c r="C457" s="11" t="s">
        <v>986</v>
      </c>
      <c r="D457" s="16" t="s">
        <v>987</v>
      </c>
      <c r="E457" s="17">
        <f>2*2</f>
        <v>4</v>
      </c>
      <c r="F457" s="17"/>
      <c r="G457" s="59">
        <f t="shared" si="24"/>
        <v>0</v>
      </c>
    </row>
    <row r="458" spans="1:7" s="8" customFormat="1" ht="25.5">
      <c r="A458" s="15" t="s">
        <v>339</v>
      </c>
      <c r="B458" s="10" t="s">
        <v>954</v>
      </c>
      <c r="C458" s="11" t="s">
        <v>1525</v>
      </c>
      <c r="D458" s="16" t="s">
        <v>52</v>
      </c>
      <c r="E458" s="17">
        <v>60</v>
      </c>
      <c r="F458" s="17"/>
      <c r="G458" s="59">
        <f t="shared" si="24"/>
        <v>0</v>
      </c>
    </row>
    <row r="459" spans="1:7" s="8" customFormat="1" ht="38.25">
      <c r="A459" s="15" t="s">
        <v>341</v>
      </c>
      <c r="B459" s="10" t="s">
        <v>956</v>
      </c>
      <c r="C459" s="11" t="s">
        <v>957</v>
      </c>
      <c r="D459" s="16" t="s">
        <v>52</v>
      </c>
      <c r="E459" s="17">
        <v>60</v>
      </c>
      <c r="F459" s="17"/>
      <c r="G459" s="59">
        <f t="shared" si="24"/>
        <v>0</v>
      </c>
    </row>
    <row r="460" spans="1:7" s="8" customFormat="1" ht="25.5">
      <c r="A460" s="15" t="s">
        <v>344</v>
      </c>
      <c r="B460" s="10" t="s">
        <v>958</v>
      </c>
      <c r="C460" s="11" t="s">
        <v>959</v>
      </c>
      <c r="D460" s="16" t="s">
        <v>52</v>
      </c>
      <c r="E460" s="17">
        <v>60</v>
      </c>
      <c r="F460" s="17"/>
      <c r="G460" s="59">
        <f t="shared" si="24"/>
        <v>0</v>
      </c>
    </row>
    <row r="461" spans="1:7" s="8" customFormat="1" ht="25.5">
      <c r="A461" s="15" t="s">
        <v>345</v>
      </c>
      <c r="B461" s="10" t="s">
        <v>961</v>
      </c>
      <c r="C461" s="11" t="s">
        <v>962</v>
      </c>
      <c r="D461" s="16" t="s">
        <v>84</v>
      </c>
      <c r="E461" s="17">
        <f>2*2</f>
        <v>4</v>
      </c>
      <c r="F461" s="17"/>
      <c r="G461" s="59">
        <f t="shared" si="24"/>
        <v>0</v>
      </c>
    </row>
    <row r="462" spans="1:7" s="8" customFormat="1" ht="25.5">
      <c r="A462" s="15" t="s">
        <v>346</v>
      </c>
      <c r="B462" s="10" t="s">
        <v>964</v>
      </c>
      <c r="C462" s="11" t="s">
        <v>965</v>
      </c>
      <c r="D462" s="16" t="s">
        <v>966</v>
      </c>
      <c r="E462" s="17">
        <v>2</v>
      </c>
      <c r="F462" s="17"/>
      <c r="G462" s="59">
        <f t="shared" si="24"/>
        <v>0</v>
      </c>
    </row>
    <row r="463" spans="1:7" s="8" customFormat="1" ht="25.5">
      <c r="A463" s="15" t="s">
        <v>349</v>
      </c>
      <c r="B463" s="10" t="s">
        <v>976</v>
      </c>
      <c r="C463" s="11" t="s">
        <v>977</v>
      </c>
      <c r="D463" s="16" t="s">
        <v>966</v>
      </c>
      <c r="E463" s="17">
        <v>4</v>
      </c>
      <c r="F463" s="17"/>
      <c r="G463" s="59">
        <f t="shared" si="24"/>
        <v>0</v>
      </c>
    </row>
    <row r="464" spans="1:7" s="8" customFormat="1" ht="25.5">
      <c r="A464" s="15" t="s">
        <v>350</v>
      </c>
      <c r="B464" s="10" t="s">
        <v>988</v>
      </c>
      <c r="C464" s="11" t="s">
        <v>989</v>
      </c>
      <c r="D464" s="16" t="s">
        <v>990</v>
      </c>
      <c r="E464" s="17">
        <f>2*2</f>
        <v>4</v>
      </c>
      <c r="F464" s="17"/>
      <c r="G464" s="59">
        <f t="shared" si="24"/>
        <v>0</v>
      </c>
    </row>
    <row r="465" spans="1:7" s="8" customFormat="1" ht="25.5">
      <c r="A465" s="15" t="s">
        <v>351</v>
      </c>
      <c r="B465" s="10" t="s">
        <v>976</v>
      </c>
      <c r="C465" s="11" t="s">
        <v>977</v>
      </c>
      <c r="D465" s="16" t="s">
        <v>966</v>
      </c>
      <c r="E465" s="17">
        <v>4</v>
      </c>
      <c r="F465" s="17"/>
      <c r="G465" s="59">
        <f t="shared" si="24"/>
        <v>0</v>
      </c>
    </row>
    <row r="466" spans="1:7" s="8" customFormat="1">
      <c r="A466" s="32" t="s">
        <v>366</v>
      </c>
      <c r="B466" s="28" t="s">
        <v>991</v>
      </c>
      <c r="C466" s="29"/>
      <c r="D466" s="30"/>
      <c r="E466" s="30"/>
      <c r="F466" s="31"/>
      <c r="G466" s="62">
        <f>SUM(G467:G477)</f>
        <v>0</v>
      </c>
    </row>
    <row r="467" spans="1:7" s="8" customFormat="1">
      <c r="A467" s="15" t="s">
        <v>367</v>
      </c>
      <c r="B467" s="10" t="s">
        <v>954</v>
      </c>
      <c r="C467" s="11" t="s">
        <v>955</v>
      </c>
      <c r="D467" s="16" t="s">
        <v>52</v>
      </c>
      <c r="E467" s="17">
        <v>400</v>
      </c>
      <c r="F467" s="17"/>
      <c r="G467" s="59">
        <f t="shared" si="24"/>
        <v>0</v>
      </c>
    </row>
    <row r="468" spans="1:7" s="8" customFormat="1" ht="38.25">
      <c r="A468" s="15" t="s">
        <v>369</v>
      </c>
      <c r="B468" s="10" t="s">
        <v>956</v>
      </c>
      <c r="C468" s="11" t="s">
        <v>957</v>
      </c>
      <c r="D468" s="16" t="s">
        <v>52</v>
      </c>
      <c r="E468" s="17">
        <v>400</v>
      </c>
      <c r="F468" s="17"/>
      <c r="G468" s="59">
        <f t="shared" si="24"/>
        <v>0</v>
      </c>
    </row>
    <row r="469" spans="1:7" s="8" customFormat="1" ht="25.5">
      <c r="A469" s="15" t="s">
        <v>370</v>
      </c>
      <c r="B469" s="10" t="s">
        <v>958</v>
      </c>
      <c r="C469" s="11" t="s">
        <v>959</v>
      </c>
      <c r="D469" s="16" t="s">
        <v>52</v>
      </c>
      <c r="E469" s="17">
        <v>400</v>
      </c>
      <c r="F469" s="17"/>
      <c r="G469" s="59">
        <f t="shared" si="24"/>
        <v>0</v>
      </c>
    </row>
    <row r="470" spans="1:7" s="8" customFormat="1" ht="25.5">
      <c r="A470" s="15" t="s">
        <v>372</v>
      </c>
      <c r="B470" s="10" t="s">
        <v>961</v>
      </c>
      <c r="C470" s="11" t="s">
        <v>962</v>
      </c>
      <c r="D470" s="16" t="s">
        <v>84</v>
      </c>
      <c r="E470" s="17">
        <f>2*11</f>
        <v>22</v>
      </c>
      <c r="F470" s="17"/>
      <c r="G470" s="59">
        <f t="shared" si="24"/>
        <v>0</v>
      </c>
    </row>
    <row r="471" spans="1:7" s="8" customFormat="1" ht="25.5">
      <c r="A471" s="15" t="s">
        <v>375</v>
      </c>
      <c r="B471" s="10" t="s">
        <v>992</v>
      </c>
      <c r="C471" s="11" t="s">
        <v>993</v>
      </c>
      <c r="D471" s="16" t="s">
        <v>84</v>
      </c>
      <c r="E471" s="17">
        <v>7</v>
      </c>
      <c r="F471" s="17"/>
      <c r="G471" s="59">
        <f t="shared" si="24"/>
        <v>0</v>
      </c>
    </row>
    <row r="472" spans="1:7" s="8" customFormat="1" ht="25.5">
      <c r="A472" s="15" t="s">
        <v>378</v>
      </c>
      <c r="B472" s="10" t="s">
        <v>994</v>
      </c>
      <c r="C472" s="11" t="s">
        <v>995</v>
      </c>
      <c r="D472" s="16" t="s">
        <v>84</v>
      </c>
      <c r="E472" s="17">
        <v>4</v>
      </c>
      <c r="F472" s="17"/>
      <c r="G472" s="59">
        <f t="shared" si="24"/>
        <v>0</v>
      </c>
    </row>
    <row r="473" spans="1:7" s="8" customFormat="1" ht="25.5">
      <c r="A473" s="15" t="s">
        <v>381</v>
      </c>
      <c r="B473" s="10" t="s">
        <v>996</v>
      </c>
      <c r="C473" s="11" t="s">
        <v>997</v>
      </c>
      <c r="D473" s="16" t="s">
        <v>84</v>
      </c>
      <c r="E473" s="17">
        <v>1</v>
      </c>
      <c r="F473" s="17"/>
      <c r="G473" s="59">
        <f t="shared" si="24"/>
        <v>0</v>
      </c>
    </row>
    <row r="474" spans="1:7" s="8" customFormat="1" ht="25.5">
      <c r="A474" s="15" t="s">
        <v>384</v>
      </c>
      <c r="B474" s="10" t="s">
        <v>998</v>
      </c>
      <c r="C474" s="11" t="s">
        <v>999</v>
      </c>
      <c r="D474" s="16" t="s">
        <v>84</v>
      </c>
      <c r="E474" s="17">
        <v>1</v>
      </c>
      <c r="F474" s="17"/>
      <c r="G474" s="59">
        <f t="shared" si="24"/>
        <v>0</v>
      </c>
    </row>
    <row r="475" spans="1:7" s="8" customFormat="1" ht="25.5">
      <c r="A475" s="15" t="s">
        <v>387</v>
      </c>
      <c r="B475" s="10" t="s">
        <v>1000</v>
      </c>
      <c r="C475" s="11" t="s">
        <v>1001</v>
      </c>
      <c r="D475" s="16" t="s">
        <v>84</v>
      </c>
      <c r="E475" s="17">
        <v>2</v>
      </c>
      <c r="F475" s="17"/>
      <c r="G475" s="59">
        <f t="shared" si="24"/>
        <v>0</v>
      </c>
    </row>
    <row r="476" spans="1:7" s="8" customFormat="1">
      <c r="A476" s="15" t="s">
        <v>390</v>
      </c>
      <c r="B476" s="10" t="s">
        <v>1002</v>
      </c>
      <c r="C476" s="11" t="s">
        <v>1003</v>
      </c>
      <c r="D476" s="16" t="s">
        <v>1004</v>
      </c>
      <c r="E476" s="17">
        <v>11</v>
      </c>
      <c r="F476" s="17"/>
      <c r="G476" s="59">
        <f t="shared" si="24"/>
        <v>0</v>
      </c>
    </row>
    <row r="477" spans="1:7" s="8" customFormat="1" ht="25.5">
      <c r="A477" s="15" t="s">
        <v>392</v>
      </c>
      <c r="B477" s="10" t="s">
        <v>964</v>
      </c>
      <c r="C477" s="11" t="s">
        <v>965</v>
      </c>
      <c r="D477" s="16" t="s">
        <v>966</v>
      </c>
      <c r="E477" s="17">
        <v>11</v>
      </c>
      <c r="F477" s="17"/>
      <c r="G477" s="59">
        <f t="shared" si="24"/>
        <v>0</v>
      </c>
    </row>
    <row r="478" spans="1:7" s="8" customFormat="1">
      <c r="A478" s="32" t="s">
        <v>401</v>
      </c>
      <c r="B478" s="106" t="s">
        <v>1005</v>
      </c>
      <c r="C478" s="107"/>
      <c r="D478" s="107"/>
      <c r="E478" s="107"/>
      <c r="F478" s="108"/>
      <c r="G478" s="62">
        <f>SUM(G479:G499)</f>
        <v>0</v>
      </c>
    </row>
    <row r="479" spans="1:7" s="8" customFormat="1">
      <c r="A479" s="15" t="s">
        <v>402</v>
      </c>
      <c r="B479" s="10" t="s">
        <v>1006</v>
      </c>
      <c r="C479" s="11" t="s">
        <v>1007</v>
      </c>
      <c r="D479" s="16" t="s">
        <v>84</v>
      </c>
      <c r="E479" s="17">
        <v>1</v>
      </c>
      <c r="F479" s="17"/>
      <c r="G479" s="59">
        <f t="shared" si="24"/>
        <v>0</v>
      </c>
    </row>
    <row r="480" spans="1:7" s="8" customFormat="1" ht="25.5">
      <c r="A480" s="15" t="s">
        <v>403</v>
      </c>
      <c r="B480" s="10" t="s">
        <v>1008</v>
      </c>
      <c r="C480" s="11" t="s">
        <v>1009</v>
      </c>
      <c r="D480" s="16" t="s">
        <v>84</v>
      </c>
      <c r="E480" s="17">
        <v>1</v>
      </c>
      <c r="F480" s="17"/>
      <c r="G480" s="59">
        <f t="shared" si="24"/>
        <v>0</v>
      </c>
    </row>
    <row r="481" spans="1:7" s="8" customFormat="1">
      <c r="A481" s="15" t="s">
        <v>404</v>
      </c>
      <c r="B481" s="10" t="s">
        <v>1010</v>
      </c>
      <c r="C481" s="11" t="s">
        <v>1011</v>
      </c>
      <c r="D481" s="16" t="s">
        <v>84</v>
      </c>
      <c r="E481" s="17">
        <v>4</v>
      </c>
      <c r="F481" s="17"/>
      <c r="G481" s="59">
        <f t="shared" si="24"/>
        <v>0</v>
      </c>
    </row>
    <row r="482" spans="1:7" s="8" customFormat="1" ht="25.5">
      <c r="A482" s="15" t="s">
        <v>405</v>
      </c>
      <c r="B482" s="10" t="s">
        <v>1012</v>
      </c>
      <c r="C482" s="11" t="s">
        <v>1013</v>
      </c>
      <c r="D482" s="16" t="s">
        <v>84</v>
      </c>
      <c r="E482" s="17">
        <v>1</v>
      </c>
      <c r="F482" s="17"/>
      <c r="G482" s="59">
        <f t="shared" si="24"/>
        <v>0</v>
      </c>
    </row>
    <row r="483" spans="1:7" s="8" customFormat="1" ht="25.5">
      <c r="A483" s="15" t="s">
        <v>406</v>
      </c>
      <c r="B483" s="10" t="s">
        <v>1014</v>
      </c>
      <c r="C483" s="11" t="s">
        <v>1015</v>
      </c>
      <c r="D483" s="16" t="s">
        <v>1016</v>
      </c>
      <c r="E483" s="17">
        <v>1</v>
      </c>
      <c r="F483" s="17"/>
      <c r="G483" s="59">
        <f t="shared" ref="G483:G513" si="25">E483*F483</f>
        <v>0</v>
      </c>
    </row>
    <row r="484" spans="1:7" s="8" customFormat="1" ht="51">
      <c r="A484" s="15" t="s">
        <v>409</v>
      </c>
      <c r="B484" s="10" t="s">
        <v>1014</v>
      </c>
      <c r="C484" s="11" t="s">
        <v>1017</v>
      </c>
      <c r="D484" s="16" t="s">
        <v>1016</v>
      </c>
      <c r="E484" s="17">
        <v>4</v>
      </c>
      <c r="F484" s="17"/>
      <c r="G484" s="59">
        <f t="shared" si="25"/>
        <v>0</v>
      </c>
    </row>
    <row r="485" spans="1:7" s="8" customFormat="1">
      <c r="A485" s="15" t="s">
        <v>412</v>
      </c>
      <c r="B485" s="10" t="s">
        <v>1018</v>
      </c>
      <c r="C485" s="11" t="s">
        <v>1019</v>
      </c>
      <c r="D485" s="16" t="s">
        <v>84</v>
      </c>
      <c r="E485" s="17">
        <v>2</v>
      </c>
      <c r="F485" s="17"/>
      <c r="G485" s="59">
        <f t="shared" si="25"/>
        <v>0</v>
      </c>
    </row>
    <row r="486" spans="1:7" s="8" customFormat="1">
      <c r="A486" s="15" t="s">
        <v>414</v>
      </c>
      <c r="B486" s="10" t="s">
        <v>1020</v>
      </c>
      <c r="C486" s="11" t="s">
        <v>1021</v>
      </c>
      <c r="D486" s="16" t="s">
        <v>84</v>
      </c>
      <c r="E486" s="17">
        <v>2</v>
      </c>
      <c r="F486" s="17"/>
      <c r="G486" s="59">
        <f t="shared" si="25"/>
        <v>0</v>
      </c>
    </row>
    <row r="487" spans="1:7" s="8" customFormat="1" ht="25.5">
      <c r="A487" s="15" t="s">
        <v>415</v>
      </c>
      <c r="B487" s="10" t="s">
        <v>1022</v>
      </c>
      <c r="C487" s="11" t="s">
        <v>1023</v>
      </c>
      <c r="D487" s="16" t="s">
        <v>84</v>
      </c>
      <c r="E487" s="17">
        <v>1</v>
      </c>
      <c r="F487" s="17"/>
      <c r="G487" s="59">
        <f t="shared" si="25"/>
        <v>0</v>
      </c>
    </row>
    <row r="488" spans="1:7" s="8" customFormat="1">
      <c r="A488" s="15" t="s">
        <v>416</v>
      </c>
      <c r="B488" s="10" t="s">
        <v>1022</v>
      </c>
      <c r="C488" s="11" t="s">
        <v>1024</v>
      </c>
      <c r="D488" s="16" t="s">
        <v>84</v>
      </c>
      <c r="E488" s="17">
        <v>2</v>
      </c>
      <c r="F488" s="17"/>
      <c r="G488" s="59">
        <f t="shared" si="25"/>
        <v>0</v>
      </c>
    </row>
    <row r="489" spans="1:7" s="8" customFormat="1">
      <c r="A489" s="15" t="s">
        <v>417</v>
      </c>
      <c r="B489" s="10" t="s">
        <v>888</v>
      </c>
      <c r="C489" s="11" t="s">
        <v>889</v>
      </c>
      <c r="D489" s="16" t="s">
        <v>52</v>
      </c>
      <c r="E489" s="17">
        <v>270</v>
      </c>
      <c r="F489" s="17"/>
      <c r="G489" s="59">
        <f t="shared" si="25"/>
        <v>0</v>
      </c>
    </row>
    <row r="490" spans="1:7" s="8" customFormat="1" ht="25.5">
      <c r="A490" s="15" t="s">
        <v>418</v>
      </c>
      <c r="B490" s="10" t="s">
        <v>980</v>
      </c>
      <c r="C490" s="11" t="s">
        <v>981</v>
      </c>
      <c r="D490" s="16" t="s">
        <v>52</v>
      </c>
      <c r="E490" s="17">
        <v>270</v>
      </c>
      <c r="F490" s="17"/>
      <c r="G490" s="59">
        <f t="shared" si="25"/>
        <v>0</v>
      </c>
    </row>
    <row r="491" spans="1:7" s="8" customFormat="1" ht="25.5">
      <c r="A491" s="15" t="s">
        <v>419</v>
      </c>
      <c r="B491" s="10" t="s">
        <v>958</v>
      </c>
      <c r="C491" s="11" t="s">
        <v>959</v>
      </c>
      <c r="D491" s="16" t="s">
        <v>52</v>
      </c>
      <c r="E491" s="17">
        <v>50</v>
      </c>
      <c r="F491" s="17"/>
      <c r="G491" s="59">
        <f t="shared" si="25"/>
        <v>0</v>
      </c>
    </row>
    <row r="492" spans="1:7" s="8" customFormat="1" ht="25.5">
      <c r="A492" s="15" t="s">
        <v>420</v>
      </c>
      <c r="B492" s="10" t="s">
        <v>958</v>
      </c>
      <c r="C492" s="11" t="s">
        <v>1025</v>
      </c>
      <c r="D492" s="16" t="s">
        <v>52</v>
      </c>
      <c r="E492" s="17">
        <v>150</v>
      </c>
      <c r="F492" s="17"/>
      <c r="G492" s="59">
        <f t="shared" si="25"/>
        <v>0</v>
      </c>
    </row>
    <row r="493" spans="1:7" s="8" customFormat="1" ht="25.5">
      <c r="A493" s="15" t="s">
        <v>421</v>
      </c>
      <c r="B493" s="10" t="s">
        <v>958</v>
      </c>
      <c r="C493" s="11" t="s">
        <v>1026</v>
      </c>
      <c r="D493" s="16" t="s">
        <v>52</v>
      </c>
      <c r="E493" s="17">
        <v>40</v>
      </c>
      <c r="F493" s="17"/>
      <c r="G493" s="59">
        <f t="shared" si="25"/>
        <v>0</v>
      </c>
    </row>
    <row r="494" spans="1:7" s="8" customFormat="1" ht="25.5">
      <c r="A494" s="15" t="s">
        <v>422</v>
      </c>
      <c r="B494" s="10" t="s">
        <v>958</v>
      </c>
      <c r="C494" s="11" t="s">
        <v>1027</v>
      </c>
      <c r="D494" s="16" t="s">
        <v>52</v>
      </c>
      <c r="E494" s="17">
        <v>30</v>
      </c>
      <c r="F494" s="17"/>
      <c r="G494" s="59">
        <f t="shared" si="25"/>
        <v>0</v>
      </c>
    </row>
    <row r="495" spans="1:7" s="8" customFormat="1" ht="38.25">
      <c r="A495" s="15" t="s">
        <v>424</v>
      </c>
      <c r="B495" s="10" t="s">
        <v>982</v>
      </c>
      <c r="C495" s="11" t="s">
        <v>983</v>
      </c>
      <c r="D495" s="16" t="s">
        <v>984</v>
      </c>
      <c r="E495" s="17">
        <f>2*3</f>
        <v>6</v>
      </c>
      <c r="F495" s="17"/>
      <c r="G495" s="59">
        <f t="shared" si="25"/>
        <v>0</v>
      </c>
    </row>
    <row r="496" spans="1:7" s="8" customFormat="1">
      <c r="A496" s="15" t="s">
        <v>425</v>
      </c>
      <c r="B496" s="10" t="s">
        <v>1028</v>
      </c>
      <c r="C496" s="11" t="s">
        <v>1029</v>
      </c>
      <c r="D496" s="16" t="s">
        <v>52</v>
      </c>
      <c r="E496" s="17">
        <v>40</v>
      </c>
      <c r="F496" s="17"/>
      <c r="G496" s="59">
        <f t="shared" si="25"/>
        <v>0</v>
      </c>
    </row>
    <row r="497" spans="1:7" s="8" customFormat="1" ht="25.5">
      <c r="A497" s="15" t="s">
        <v>1030</v>
      </c>
      <c r="B497" s="10" t="s">
        <v>973</v>
      </c>
      <c r="C497" s="11" t="s">
        <v>974</v>
      </c>
      <c r="D497" s="16" t="s">
        <v>52</v>
      </c>
      <c r="E497" s="17">
        <v>40</v>
      </c>
      <c r="F497" s="17"/>
      <c r="G497" s="59">
        <f t="shared" si="25"/>
        <v>0</v>
      </c>
    </row>
    <row r="498" spans="1:7" s="8" customFormat="1" ht="38.25">
      <c r="A498" s="15" t="s">
        <v>1031</v>
      </c>
      <c r="B498" s="10" t="s">
        <v>1032</v>
      </c>
      <c r="C498" s="11" t="s">
        <v>1033</v>
      </c>
      <c r="D498" s="16" t="s">
        <v>84</v>
      </c>
      <c r="E498" s="17">
        <v>11</v>
      </c>
      <c r="F498" s="17"/>
      <c r="G498" s="59">
        <f t="shared" si="25"/>
        <v>0</v>
      </c>
    </row>
    <row r="499" spans="1:7" s="8" customFormat="1" ht="25.5">
      <c r="A499" s="15" t="s">
        <v>1034</v>
      </c>
      <c r="B499" s="10" t="s">
        <v>1035</v>
      </c>
      <c r="C499" s="11" t="s">
        <v>1036</v>
      </c>
      <c r="D499" s="16" t="s">
        <v>1037</v>
      </c>
      <c r="E499" s="17">
        <v>8</v>
      </c>
      <c r="F499" s="17"/>
      <c r="G499" s="59">
        <f t="shared" si="25"/>
        <v>0</v>
      </c>
    </row>
    <row r="500" spans="1:7" s="8" customFormat="1">
      <c r="A500" s="32" t="s">
        <v>426</v>
      </c>
      <c r="B500" s="106" t="s">
        <v>1038</v>
      </c>
      <c r="C500" s="107"/>
      <c r="D500" s="107"/>
      <c r="E500" s="107"/>
      <c r="F500" s="108"/>
      <c r="G500" s="62">
        <f>SUM(G501:G513)</f>
        <v>0</v>
      </c>
    </row>
    <row r="501" spans="1:7" s="8" customFormat="1" ht="25.5">
      <c r="A501" s="15" t="s">
        <v>427</v>
      </c>
      <c r="B501" s="10" t="s">
        <v>1039</v>
      </c>
      <c r="C501" s="11" t="s">
        <v>1040</v>
      </c>
      <c r="D501" s="16" t="s">
        <v>84</v>
      </c>
      <c r="E501" s="17">
        <v>1</v>
      </c>
      <c r="F501" s="17"/>
      <c r="G501" s="59">
        <f t="shared" si="25"/>
        <v>0</v>
      </c>
    </row>
    <row r="502" spans="1:7" s="8" customFormat="1" ht="25.5">
      <c r="A502" s="15" t="s">
        <v>428</v>
      </c>
      <c r="B502" s="10" t="s">
        <v>1041</v>
      </c>
      <c r="C502" s="11" t="s">
        <v>1042</v>
      </c>
      <c r="D502" s="16" t="s">
        <v>84</v>
      </c>
      <c r="E502" s="17">
        <v>1</v>
      </c>
      <c r="F502" s="17"/>
      <c r="G502" s="59">
        <f t="shared" si="25"/>
        <v>0</v>
      </c>
    </row>
    <row r="503" spans="1:7" s="8" customFormat="1">
      <c r="A503" s="15" t="s">
        <v>429</v>
      </c>
      <c r="B503" s="10" t="s">
        <v>1043</v>
      </c>
      <c r="C503" s="11" t="s">
        <v>1044</v>
      </c>
      <c r="D503" s="16" t="s">
        <v>84</v>
      </c>
      <c r="E503" s="17">
        <v>1</v>
      </c>
      <c r="F503" s="17"/>
      <c r="G503" s="59">
        <f t="shared" si="25"/>
        <v>0</v>
      </c>
    </row>
    <row r="504" spans="1:7" s="8" customFormat="1">
      <c r="A504" s="15" t="s">
        <v>430</v>
      </c>
      <c r="B504" s="10" t="s">
        <v>1045</v>
      </c>
      <c r="C504" s="11" t="s">
        <v>1046</v>
      </c>
      <c r="D504" s="16" t="s">
        <v>84</v>
      </c>
      <c r="E504" s="17">
        <v>1</v>
      </c>
      <c r="F504" s="17"/>
      <c r="G504" s="59">
        <f t="shared" si="25"/>
        <v>0</v>
      </c>
    </row>
    <row r="505" spans="1:7" s="8" customFormat="1" ht="25.5">
      <c r="A505" s="15" t="s">
        <v>431</v>
      </c>
      <c r="B505" s="10" t="s">
        <v>1047</v>
      </c>
      <c r="C505" s="11" t="s">
        <v>1048</v>
      </c>
      <c r="D505" s="16" t="s">
        <v>84</v>
      </c>
      <c r="E505" s="17">
        <v>1</v>
      </c>
      <c r="F505" s="17"/>
      <c r="G505" s="59">
        <f t="shared" si="25"/>
        <v>0</v>
      </c>
    </row>
    <row r="506" spans="1:7" s="8" customFormat="1">
      <c r="A506" s="15" t="s">
        <v>432</v>
      </c>
      <c r="B506" s="10" t="s">
        <v>1049</v>
      </c>
      <c r="C506" s="11" t="s">
        <v>1050</v>
      </c>
      <c r="D506" s="16" t="s">
        <v>84</v>
      </c>
      <c r="E506" s="17">
        <v>14</v>
      </c>
      <c r="F506" s="17"/>
      <c r="G506" s="59">
        <f t="shared" si="25"/>
        <v>0</v>
      </c>
    </row>
    <row r="507" spans="1:7" s="8" customFormat="1">
      <c r="A507" s="15" t="s">
        <v>1051</v>
      </c>
      <c r="B507" s="10" t="s">
        <v>1052</v>
      </c>
      <c r="C507" s="11" t="s">
        <v>1053</v>
      </c>
      <c r="D507" s="16" t="s">
        <v>84</v>
      </c>
      <c r="E507" s="17">
        <v>2</v>
      </c>
      <c r="F507" s="17"/>
      <c r="G507" s="59">
        <f t="shared" si="25"/>
        <v>0</v>
      </c>
    </row>
    <row r="508" spans="1:7" s="8" customFormat="1">
      <c r="A508" s="15" t="s">
        <v>1054</v>
      </c>
      <c r="B508" s="10" t="s">
        <v>866</v>
      </c>
      <c r="C508" s="11" t="s">
        <v>867</v>
      </c>
      <c r="D508" s="16" t="s">
        <v>52</v>
      </c>
      <c r="E508" s="17">
        <v>500</v>
      </c>
      <c r="F508" s="17"/>
      <c r="G508" s="59">
        <f t="shared" si="25"/>
        <v>0</v>
      </c>
    </row>
    <row r="509" spans="1:7" s="8" customFormat="1" ht="25.5">
      <c r="A509" s="15" t="s">
        <v>1055</v>
      </c>
      <c r="B509" s="10" t="s">
        <v>973</v>
      </c>
      <c r="C509" s="11" t="s">
        <v>974</v>
      </c>
      <c r="D509" s="16" t="s">
        <v>52</v>
      </c>
      <c r="E509" s="17">
        <v>470</v>
      </c>
      <c r="F509" s="17"/>
      <c r="G509" s="59">
        <f t="shared" si="25"/>
        <v>0</v>
      </c>
    </row>
    <row r="510" spans="1:7" s="8" customFormat="1" ht="51">
      <c r="A510" s="15" t="s">
        <v>1056</v>
      </c>
      <c r="B510" s="10" t="s">
        <v>868</v>
      </c>
      <c r="C510" s="11" t="s">
        <v>1057</v>
      </c>
      <c r="D510" s="16" t="s">
        <v>52</v>
      </c>
      <c r="E510" s="17">
        <v>30</v>
      </c>
      <c r="F510" s="17"/>
      <c r="G510" s="59">
        <f t="shared" si="25"/>
        <v>0</v>
      </c>
    </row>
    <row r="511" spans="1:7" s="8" customFormat="1" ht="25.5">
      <c r="A511" s="15" t="s">
        <v>1058</v>
      </c>
      <c r="B511" s="10" t="s">
        <v>1059</v>
      </c>
      <c r="C511" s="11" t="s">
        <v>1060</v>
      </c>
      <c r="D511" s="16" t="s">
        <v>1061</v>
      </c>
      <c r="E511" s="17">
        <v>1</v>
      </c>
      <c r="F511" s="17"/>
      <c r="G511" s="59">
        <f t="shared" si="25"/>
        <v>0</v>
      </c>
    </row>
    <row r="512" spans="1:7" s="8" customFormat="1" ht="25.5">
      <c r="A512" s="15" t="s">
        <v>1062</v>
      </c>
      <c r="B512" s="10" t="s">
        <v>1063</v>
      </c>
      <c r="C512" s="11" t="s">
        <v>1064</v>
      </c>
      <c r="D512" s="16" t="s">
        <v>84</v>
      </c>
      <c r="E512" s="17">
        <v>1</v>
      </c>
      <c r="F512" s="17"/>
      <c r="G512" s="59">
        <f t="shared" si="25"/>
        <v>0</v>
      </c>
    </row>
    <row r="513" spans="1:7" s="8" customFormat="1" ht="25.5">
      <c r="A513" s="15" t="s">
        <v>1065</v>
      </c>
      <c r="B513" s="10" t="s">
        <v>1066</v>
      </c>
      <c r="C513" s="11" t="s">
        <v>1067</v>
      </c>
      <c r="D513" s="16" t="s">
        <v>509</v>
      </c>
      <c r="E513" s="17">
        <v>1</v>
      </c>
      <c r="F513" s="17"/>
      <c r="G513" s="59">
        <f t="shared" si="25"/>
        <v>0</v>
      </c>
    </row>
    <row r="514" spans="1:7" s="8" customFormat="1">
      <c r="A514" s="32" t="s">
        <v>433</v>
      </c>
      <c r="B514" s="106" t="s">
        <v>1068</v>
      </c>
      <c r="C514" s="107"/>
      <c r="D514" s="107"/>
      <c r="E514" s="107"/>
      <c r="F514" s="108"/>
      <c r="G514" s="62">
        <f>SUM(G515:G531)</f>
        <v>0</v>
      </c>
    </row>
    <row r="515" spans="1:7" s="8" customFormat="1" ht="25.5">
      <c r="A515" s="15" t="s">
        <v>434</v>
      </c>
      <c r="B515" s="10" t="s">
        <v>1069</v>
      </c>
      <c r="C515" s="11" t="s">
        <v>1070</v>
      </c>
      <c r="D515" s="16" t="s">
        <v>31</v>
      </c>
      <c r="E515" s="17">
        <v>15</v>
      </c>
      <c r="F515" s="17"/>
      <c r="G515" s="59">
        <f t="shared" ref="G515:G555" si="26">E515*F515</f>
        <v>0</v>
      </c>
    </row>
    <row r="516" spans="1:7" s="8" customFormat="1" ht="25.5">
      <c r="A516" s="15" t="s">
        <v>436</v>
      </c>
      <c r="B516" s="10" t="s">
        <v>1071</v>
      </c>
      <c r="C516" s="11" t="s">
        <v>1072</v>
      </c>
      <c r="D516" s="16" t="s">
        <v>52</v>
      </c>
      <c r="E516" s="17">
        <v>110</v>
      </c>
      <c r="F516" s="17"/>
      <c r="G516" s="59">
        <f t="shared" si="26"/>
        <v>0</v>
      </c>
    </row>
    <row r="517" spans="1:7" s="8" customFormat="1" ht="38.25">
      <c r="A517" s="15" t="s">
        <v>439</v>
      </c>
      <c r="B517" s="10" t="s">
        <v>1073</v>
      </c>
      <c r="C517" s="11" t="s">
        <v>1074</v>
      </c>
      <c r="D517" s="16" t="s">
        <v>84</v>
      </c>
      <c r="E517" s="17">
        <v>7</v>
      </c>
      <c r="F517" s="17"/>
      <c r="G517" s="59">
        <f t="shared" si="26"/>
        <v>0</v>
      </c>
    </row>
    <row r="518" spans="1:7" s="8" customFormat="1">
      <c r="A518" s="15" t="s">
        <v>1481</v>
      </c>
      <c r="B518" s="10" t="s">
        <v>1075</v>
      </c>
      <c r="C518" s="11" t="s">
        <v>1076</v>
      </c>
      <c r="D518" s="16" t="s">
        <v>52</v>
      </c>
      <c r="E518" s="17">
        <v>30</v>
      </c>
      <c r="F518" s="17"/>
      <c r="G518" s="59">
        <f t="shared" si="26"/>
        <v>0</v>
      </c>
    </row>
    <row r="519" spans="1:7" s="8" customFormat="1" ht="51">
      <c r="A519" s="15" t="s">
        <v>1482</v>
      </c>
      <c r="B519" s="10" t="s">
        <v>1077</v>
      </c>
      <c r="C519" s="11" t="s">
        <v>1078</v>
      </c>
      <c r="D519" s="16" t="s">
        <v>31</v>
      </c>
      <c r="E519" s="17">
        <v>15</v>
      </c>
      <c r="F519" s="17"/>
      <c r="G519" s="59">
        <f t="shared" si="26"/>
        <v>0</v>
      </c>
    </row>
    <row r="520" spans="1:7" s="8" customFormat="1">
      <c r="A520" s="15" t="s">
        <v>1483</v>
      </c>
      <c r="B520" s="10" t="s">
        <v>1079</v>
      </c>
      <c r="C520" s="11" t="s">
        <v>1080</v>
      </c>
      <c r="D520" s="16" t="s">
        <v>52</v>
      </c>
      <c r="E520" s="17">
        <v>40</v>
      </c>
      <c r="F520" s="17"/>
      <c r="G520" s="59">
        <f t="shared" si="26"/>
        <v>0</v>
      </c>
    </row>
    <row r="521" spans="1:7" s="8" customFormat="1" ht="25.5">
      <c r="A521" s="15" t="s">
        <v>1484</v>
      </c>
      <c r="B521" s="10" t="s">
        <v>1081</v>
      </c>
      <c r="C521" s="11" t="s">
        <v>1082</v>
      </c>
      <c r="D521" s="16" t="s">
        <v>52</v>
      </c>
      <c r="E521" s="17">
        <v>40</v>
      </c>
      <c r="F521" s="17"/>
      <c r="G521" s="59">
        <f t="shared" si="26"/>
        <v>0</v>
      </c>
    </row>
    <row r="522" spans="1:7" s="8" customFormat="1">
      <c r="A522" s="15" t="s">
        <v>1485</v>
      </c>
      <c r="B522" s="10" t="s">
        <v>1083</v>
      </c>
      <c r="C522" s="11" t="s">
        <v>1084</v>
      </c>
      <c r="D522" s="16" t="s">
        <v>52</v>
      </c>
      <c r="E522" s="17">
        <v>40</v>
      </c>
      <c r="F522" s="17"/>
      <c r="G522" s="59">
        <f t="shared" si="26"/>
        <v>0</v>
      </c>
    </row>
    <row r="523" spans="1:7" s="8" customFormat="1" ht="38.25">
      <c r="A523" s="15" t="s">
        <v>1486</v>
      </c>
      <c r="B523" s="10" t="s">
        <v>1085</v>
      </c>
      <c r="C523" s="11" t="s">
        <v>1086</v>
      </c>
      <c r="D523" s="16" t="s">
        <v>52</v>
      </c>
      <c r="E523" s="17">
        <v>130</v>
      </c>
      <c r="F523" s="17"/>
      <c r="G523" s="59">
        <f t="shared" si="26"/>
        <v>0</v>
      </c>
    </row>
    <row r="524" spans="1:7" s="8" customFormat="1" ht="25.5">
      <c r="A524" s="15" t="s">
        <v>1487</v>
      </c>
      <c r="B524" s="10" t="s">
        <v>1087</v>
      </c>
      <c r="C524" s="11" t="s">
        <v>1088</v>
      </c>
      <c r="D524" s="16" t="s">
        <v>52</v>
      </c>
      <c r="E524" s="17">
        <v>25</v>
      </c>
      <c r="F524" s="17"/>
      <c r="G524" s="59">
        <f t="shared" si="26"/>
        <v>0</v>
      </c>
    </row>
    <row r="525" spans="1:7" s="8" customFormat="1" ht="25.5">
      <c r="A525" s="15" t="s">
        <v>1488</v>
      </c>
      <c r="B525" s="10" t="s">
        <v>1089</v>
      </c>
      <c r="C525" s="11" t="s">
        <v>1090</v>
      </c>
      <c r="D525" s="16" t="s">
        <v>84</v>
      </c>
      <c r="E525" s="17">
        <v>20</v>
      </c>
      <c r="F525" s="17"/>
      <c r="G525" s="59">
        <f t="shared" si="26"/>
        <v>0</v>
      </c>
    </row>
    <row r="526" spans="1:7" s="8" customFormat="1" ht="38.25">
      <c r="A526" s="15" t="s">
        <v>1489</v>
      </c>
      <c r="B526" s="10" t="s">
        <v>1091</v>
      </c>
      <c r="C526" s="11" t="s">
        <v>1092</v>
      </c>
      <c r="D526" s="16" t="s">
        <v>1093</v>
      </c>
      <c r="E526" s="17">
        <v>4</v>
      </c>
      <c r="F526" s="17"/>
      <c r="G526" s="59">
        <f t="shared" si="26"/>
        <v>0</v>
      </c>
    </row>
    <row r="527" spans="1:7" s="8" customFormat="1" ht="25.5">
      <c r="A527" s="15" t="s">
        <v>1490</v>
      </c>
      <c r="B527" s="10" t="s">
        <v>1094</v>
      </c>
      <c r="C527" s="11" t="s">
        <v>1095</v>
      </c>
      <c r="D527" s="16" t="s">
        <v>84</v>
      </c>
      <c r="E527" s="17">
        <v>4</v>
      </c>
      <c r="F527" s="17"/>
      <c r="G527" s="59">
        <f t="shared" si="26"/>
        <v>0</v>
      </c>
    </row>
    <row r="528" spans="1:7" s="8" customFormat="1" ht="38.25">
      <c r="A528" s="15" t="s">
        <v>1491</v>
      </c>
      <c r="B528" s="10" t="s">
        <v>1096</v>
      </c>
      <c r="C528" s="11" t="s">
        <v>1097</v>
      </c>
      <c r="D528" s="16" t="s">
        <v>84</v>
      </c>
      <c r="E528" s="17">
        <v>5</v>
      </c>
      <c r="F528" s="17"/>
      <c r="G528" s="59">
        <f t="shared" si="26"/>
        <v>0</v>
      </c>
    </row>
    <row r="529" spans="1:7" s="8" customFormat="1">
      <c r="A529" s="15" t="s">
        <v>1492</v>
      </c>
      <c r="B529" s="10" t="s">
        <v>1098</v>
      </c>
      <c r="C529" s="11" t="s">
        <v>1099</v>
      </c>
      <c r="D529" s="16" t="s">
        <v>84</v>
      </c>
      <c r="E529" s="17">
        <v>5</v>
      </c>
      <c r="F529" s="17"/>
      <c r="G529" s="59">
        <f t="shared" si="26"/>
        <v>0</v>
      </c>
    </row>
    <row r="530" spans="1:7" s="8" customFormat="1" ht="25.5">
      <c r="A530" s="15" t="s">
        <v>1493</v>
      </c>
      <c r="B530" s="10" t="s">
        <v>1100</v>
      </c>
      <c r="C530" s="11" t="s">
        <v>1101</v>
      </c>
      <c r="D530" s="16" t="s">
        <v>84</v>
      </c>
      <c r="E530" s="17">
        <v>5</v>
      </c>
      <c r="F530" s="17"/>
      <c r="G530" s="59">
        <f t="shared" si="26"/>
        <v>0</v>
      </c>
    </row>
    <row r="531" spans="1:7" s="8" customFormat="1" ht="25.5">
      <c r="A531" s="15" t="s">
        <v>1494</v>
      </c>
      <c r="B531" s="10" t="s">
        <v>1089</v>
      </c>
      <c r="C531" s="11" t="s">
        <v>1102</v>
      </c>
      <c r="D531" s="16" t="s">
        <v>84</v>
      </c>
      <c r="E531" s="17">
        <v>12</v>
      </c>
      <c r="F531" s="17"/>
      <c r="G531" s="59">
        <f t="shared" si="26"/>
        <v>0</v>
      </c>
    </row>
    <row r="532" spans="1:7" s="8" customFormat="1">
      <c r="A532" s="32" t="s">
        <v>472</v>
      </c>
      <c r="B532" s="106" t="s">
        <v>1103</v>
      </c>
      <c r="C532" s="107"/>
      <c r="D532" s="107"/>
      <c r="E532" s="107"/>
      <c r="F532" s="108"/>
      <c r="G532" s="62">
        <f>SUM(G533:G535)</f>
        <v>0</v>
      </c>
    </row>
    <row r="533" spans="1:7" s="8" customFormat="1">
      <c r="A533" s="15" t="s">
        <v>474</v>
      </c>
      <c r="B533" s="10" t="s">
        <v>59</v>
      </c>
      <c r="C533" s="11" t="s">
        <v>1104</v>
      </c>
      <c r="D533" s="16" t="s">
        <v>1105</v>
      </c>
      <c r="E533" s="17">
        <f>8*2*4</f>
        <v>64</v>
      </c>
      <c r="F533" s="17"/>
      <c r="G533" s="59">
        <f t="shared" si="26"/>
        <v>0</v>
      </c>
    </row>
    <row r="534" spans="1:7" s="8" customFormat="1" ht="25.5">
      <c r="A534" s="15" t="s">
        <v>477</v>
      </c>
      <c r="B534" s="10" t="s">
        <v>1110</v>
      </c>
      <c r="C534" s="11" t="s">
        <v>1111</v>
      </c>
      <c r="D534" s="16" t="s">
        <v>24</v>
      </c>
      <c r="E534" s="17">
        <v>0.95</v>
      </c>
      <c r="F534" s="17"/>
      <c r="G534" s="59">
        <f t="shared" si="26"/>
        <v>0</v>
      </c>
    </row>
    <row r="535" spans="1:7" s="8" customFormat="1" ht="25.5">
      <c r="A535" s="15" t="s">
        <v>480</v>
      </c>
      <c r="B535" s="10" t="s">
        <v>1112</v>
      </c>
      <c r="C535" s="11" t="s">
        <v>1113</v>
      </c>
      <c r="D535" s="16" t="s">
        <v>24</v>
      </c>
      <c r="E535" s="17">
        <v>0.95</v>
      </c>
      <c r="F535" s="17"/>
      <c r="G535" s="59">
        <f t="shared" si="26"/>
        <v>0</v>
      </c>
    </row>
    <row r="536" spans="1:7" s="8" customFormat="1">
      <c r="A536" s="32" t="s">
        <v>487</v>
      </c>
      <c r="B536" s="106" t="s">
        <v>1114</v>
      </c>
      <c r="C536" s="107"/>
      <c r="D536" s="107"/>
      <c r="E536" s="107"/>
      <c r="F536" s="108"/>
      <c r="G536" s="62">
        <f>SUM(G537:G544)</f>
        <v>0</v>
      </c>
    </row>
    <row r="537" spans="1:7" s="8" customFormat="1" ht="25.5">
      <c r="A537" s="15" t="s">
        <v>489</v>
      </c>
      <c r="B537" s="10" t="s">
        <v>1115</v>
      </c>
      <c r="C537" s="11" t="s">
        <v>1116</v>
      </c>
      <c r="D537" s="16" t="s">
        <v>684</v>
      </c>
      <c r="E537" s="17">
        <v>18</v>
      </c>
      <c r="F537" s="17"/>
      <c r="G537" s="59">
        <f t="shared" si="26"/>
        <v>0</v>
      </c>
    </row>
    <row r="538" spans="1:7" s="8" customFormat="1" ht="38.25">
      <c r="A538" s="15" t="s">
        <v>492</v>
      </c>
      <c r="B538" s="10" t="s">
        <v>1117</v>
      </c>
      <c r="C538" s="11" t="s">
        <v>1118</v>
      </c>
      <c r="D538" s="16" t="s">
        <v>684</v>
      </c>
      <c r="E538" s="17">
        <v>24</v>
      </c>
      <c r="F538" s="17"/>
      <c r="G538" s="59">
        <f t="shared" si="26"/>
        <v>0</v>
      </c>
    </row>
    <row r="539" spans="1:7" s="8" customFormat="1" ht="25.5">
      <c r="A539" s="15" t="s">
        <v>493</v>
      </c>
      <c r="B539" s="10" t="s">
        <v>1119</v>
      </c>
      <c r="C539" s="11" t="s">
        <v>1120</v>
      </c>
      <c r="D539" s="16" t="s">
        <v>684</v>
      </c>
      <c r="E539" s="17">
        <v>46</v>
      </c>
      <c r="F539" s="17"/>
      <c r="G539" s="59">
        <f t="shared" si="26"/>
        <v>0</v>
      </c>
    </row>
    <row r="540" spans="1:7" s="8" customFormat="1" ht="25.5">
      <c r="A540" s="15" t="s">
        <v>1495</v>
      </c>
      <c r="B540" s="10" t="s">
        <v>1121</v>
      </c>
      <c r="C540" s="11" t="s">
        <v>1122</v>
      </c>
      <c r="D540" s="16" t="s">
        <v>684</v>
      </c>
      <c r="E540" s="17">
        <v>78</v>
      </c>
      <c r="F540" s="17"/>
      <c r="G540" s="59">
        <f t="shared" si="26"/>
        <v>0</v>
      </c>
    </row>
    <row r="541" spans="1:7" s="8" customFormat="1" ht="25.5">
      <c r="A541" s="15" t="s">
        <v>1496</v>
      </c>
      <c r="B541" s="10" t="s">
        <v>1123</v>
      </c>
      <c r="C541" s="11" t="s">
        <v>1124</v>
      </c>
      <c r="D541" s="16" t="s">
        <v>684</v>
      </c>
      <c r="E541" s="17">
        <v>45</v>
      </c>
      <c r="F541" s="17"/>
      <c r="G541" s="59">
        <f t="shared" si="26"/>
        <v>0</v>
      </c>
    </row>
    <row r="542" spans="1:7" s="8" customFormat="1" ht="25.5">
      <c r="A542" s="15" t="s">
        <v>1497</v>
      </c>
      <c r="B542" s="10" t="s">
        <v>1125</v>
      </c>
      <c r="C542" s="11" t="s">
        <v>1126</v>
      </c>
      <c r="D542" s="16" t="s">
        <v>11</v>
      </c>
      <c r="E542" s="17">
        <f>8470*0.035*0.03+640*0.05*0.05</f>
        <v>10.493500000000001</v>
      </c>
      <c r="F542" s="17"/>
      <c r="G542" s="59">
        <f t="shared" si="26"/>
        <v>0</v>
      </c>
    </row>
    <row r="543" spans="1:7" s="8" customFormat="1">
      <c r="A543" s="15" t="s">
        <v>1498</v>
      </c>
      <c r="B543" s="10" t="s">
        <v>1127</v>
      </c>
      <c r="C543" s="11" t="s">
        <v>1128</v>
      </c>
      <c r="D543" s="16" t="s">
        <v>52</v>
      </c>
      <c r="E543" s="17">
        <v>9110</v>
      </c>
      <c r="F543" s="17"/>
      <c r="G543" s="59">
        <f t="shared" si="26"/>
        <v>0</v>
      </c>
    </row>
    <row r="544" spans="1:7" s="8" customFormat="1" ht="38.25">
      <c r="A544" s="15" t="s">
        <v>1499</v>
      </c>
      <c r="B544" s="10" t="s">
        <v>1129</v>
      </c>
      <c r="C544" s="11" t="s">
        <v>1130</v>
      </c>
      <c r="D544" s="16" t="s">
        <v>84</v>
      </c>
      <c r="E544" s="17">
        <v>125</v>
      </c>
      <c r="F544" s="17"/>
      <c r="G544" s="59">
        <f t="shared" si="26"/>
        <v>0</v>
      </c>
    </row>
    <row r="545" spans="1:7" s="8" customFormat="1">
      <c r="A545" s="32" t="s">
        <v>500</v>
      </c>
      <c r="B545" s="106" t="s">
        <v>1131</v>
      </c>
      <c r="C545" s="107"/>
      <c r="D545" s="107"/>
      <c r="E545" s="107"/>
      <c r="F545" s="108"/>
      <c r="G545" s="62">
        <f>SUM(G546:G555)</f>
        <v>0</v>
      </c>
    </row>
    <row r="546" spans="1:7" s="8" customFormat="1" ht="25.5">
      <c r="A546" s="15" t="s">
        <v>502</v>
      </c>
      <c r="B546" s="10" t="s">
        <v>1132</v>
      </c>
      <c r="C546" s="11" t="s">
        <v>1133</v>
      </c>
      <c r="D546" s="16" t="s">
        <v>966</v>
      </c>
      <c r="E546" s="17">
        <v>54</v>
      </c>
      <c r="F546" s="17"/>
      <c r="G546" s="59">
        <f t="shared" si="26"/>
        <v>0</v>
      </c>
    </row>
    <row r="547" spans="1:7" s="8" customFormat="1" ht="25.5">
      <c r="A547" s="15" t="s">
        <v>504</v>
      </c>
      <c r="B547" s="10" t="s">
        <v>1134</v>
      </c>
      <c r="C547" s="11" t="s">
        <v>1135</v>
      </c>
      <c r="D547" s="16" t="s">
        <v>966</v>
      </c>
      <c r="E547" s="17">
        <v>2</v>
      </c>
      <c r="F547" s="17"/>
      <c r="G547" s="59">
        <f t="shared" si="26"/>
        <v>0</v>
      </c>
    </row>
    <row r="548" spans="1:7" s="8" customFormat="1">
      <c r="A548" s="15" t="s">
        <v>507</v>
      </c>
      <c r="B548" s="10" t="s">
        <v>1136</v>
      </c>
      <c r="C548" s="11" t="s">
        <v>1137</v>
      </c>
      <c r="D548" s="16" t="s">
        <v>990</v>
      </c>
      <c r="E548" s="17">
        <v>2</v>
      </c>
      <c r="F548" s="17"/>
      <c r="G548" s="59">
        <f t="shared" si="26"/>
        <v>0</v>
      </c>
    </row>
    <row r="549" spans="1:7" s="8" customFormat="1" ht="25.5">
      <c r="A549" s="15" t="s">
        <v>510</v>
      </c>
      <c r="B549" s="10" t="s">
        <v>1138</v>
      </c>
      <c r="C549" s="11" t="s">
        <v>1139</v>
      </c>
      <c r="D549" s="16" t="s">
        <v>1140</v>
      </c>
      <c r="E549" s="17">
        <v>1</v>
      </c>
      <c r="F549" s="17"/>
      <c r="G549" s="59">
        <f t="shared" si="26"/>
        <v>0</v>
      </c>
    </row>
    <row r="550" spans="1:7" s="8" customFormat="1" ht="25.5">
      <c r="A550" s="15" t="s">
        <v>511</v>
      </c>
      <c r="B550" s="10" t="s">
        <v>1141</v>
      </c>
      <c r="C550" s="11" t="s">
        <v>1142</v>
      </c>
      <c r="D550" s="16" t="s">
        <v>1140</v>
      </c>
      <c r="E550" s="17">
        <v>326</v>
      </c>
      <c r="F550" s="17"/>
      <c r="G550" s="59">
        <f t="shared" si="26"/>
        <v>0</v>
      </c>
    </row>
    <row r="551" spans="1:7" s="8" customFormat="1" ht="25.5">
      <c r="A551" s="15" t="s">
        <v>512</v>
      </c>
      <c r="B551" s="10" t="s">
        <v>1143</v>
      </c>
      <c r="C551" s="11" t="s">
        <v>1144</v>
      </c>
      <c r="D551" s="16" t="s">
        <v>84</v>
      </c>
      <c r="E551" s="17">
        <v>1</v>
      </c>
      <c r="F551" s="17"/>
      <c r="G551" s="59">
        <f t="shared" si="26"/>
        <v>0</v>
      </c>
    </row>
    <row r="552" spans="1:7" s="8" customFormat="1" ht="25.5">
      <c r="A552" s="15" t="s">
        <v>513</v>
      </c>
      <c r="B552" s="10" t="s">
        <v>1145</v>
      </c>
      <c r="C552" s="11" t="s">
        <v>1146</v>
      </c>
      <c r="D552" s="16" t="s">
        <v>84</v>
      </c>
      <c r="E552" s="17">
        <v>70</v>
      </c>
      <c r="F552" s="17"/>
      <c r="G552" s="59">
        <f t="shared" si="26"/>
        <v>0</v>
      </c>
    </row>
    <row r="553" spans="1:7" s="8" customFormat="1" ht="25.5">
      <c r="A553" s="15" t="s">
        <v>514</v>
      </c>
      <c r="B553" s="10" t="s">
        <v>1147</v>
      </c>
      <c r="C553" s="11" t="s">
        <v>1148</v>
      </c>
      <c r="D553" s="16" t="s">
        <v>84</v>
      </c>
      <c r="E553" s="17">
        <v>1</v>
      </c>
      <c r="F553" s="17"/>
      <c r="G553" s="59">
        <f t="shared" si="26"/>
        <v>0</v>
      </c>
    </row>
    <row r="554" spans="1:7" s="8" customFormat="1" ht="25.5">
      <c r="A554" s="15" t="s">
        <v>1500</v>
      </c>
      <c r="B554" s="10" t="s">
        <v>1149</v>
      </c>
      <c r="C554" s="11" t="s">
        <v>1150</v>
      </c>
      <c r="D554" s="16" t="s">
        <v>84</v>
      </c>
      <c r="E554" s="17">
        <v>4</v>
      </c>
      <c r="F554" s="17"/>
      <c r="G554" s="59">
        <f t="shared" si="26"/>
        <v>0</v>
      </c>
    </row>
    <row r="555" spans="1:7" s="8" customFormat="1" ht="25.5">
      <c r="A555" s="15" t="s">
        <v>1501</v>
      </c>
      <c r="B555" s="10" t="s">
        <v>1151</v>
      </c>
      <c r="C555" s="11" t="s">
        <v>1152</v>
      </c>
      <c r="D555" s="16" t="s">
        <v>1153</v>
      </c>
      <c r="E555" s="17">
        <v>52</v>
      </c>
      <c r="F555" s="17"/>
      <c r="G555" s="59">
        <f t="shared" si="26"/>
        <v>0</v>
      </c>
    </row>
    <row r="556" spans="1:7" s="26" customFormat="1" ht="32.25" customHeight="1">
      <c r="A556" s="36"/>
      <c r="B556" s="37"/>
      <c r="C556" s="48"/>
      <c r="D556" s="110" t="s">
        <v>1154</v>
      </c>
      <c r="E556" s="111"/>
      <c r="F556" s="112"/>
      <c r="G556" s="66">
        <f>G3+G239+G359+G225</f>
        <v>0</v>
      </c>
    </row>
    <row r="557" spans="1:7" s="26" customFormat="1" ht="15.75">
      <c r="A557" s="38"/>
      <c r="B557" s="39"/>
      <c r="C557" s="49"/>
      <c r="D557" s="40" t="s">
        <v>1155</v>
      </c>
      <c r="E557" s="41"/>
      <c r="F557" s="42"/>
      <c r="G557" s="66">
        <f>G556*23%</f>
        <v>0</v>
      </c>
    </row>
    <row r="558" spans="1:7" s="26" customFormat="1" ht="31.5" customHeight="1">
      <c r="A558" s="43"/>
      <c r="B558" s="44"/>
      <c r="C558" s="50"/>
      <c r="D558" s="110" t="s">
        <v>1156</v>
      </c>
      <c r="E558" s="111"/>
      <c r="F558" s="112"/>
      <c r="G558" s="66">
        <f>G556+G557</f>
        <v>0</v>
      </c>
    </row>
    <row r="560" spans="1:7" ht="39.75" customHeight="1"/>
    <row r="561" spans="4:7">
      <c r="D561" s="114" t="s">
        <v>1343</v>
      </c>
      <c r="E561" s="114"/>
      <c r="F561" s="114"/>
      <c r="G561" s="114"/>
    </row>
    <row r="562" spans="4:7">
      <c r="D562" s="109" t="s">
        <v>1344</v>
      </c>
      <c r="E562" s="109"/>
      <c r="F562" s="109"/>
      <c r="G562" s="109"/>
    </row>
  </sheetData>
  <mergeCells count="31">
    <mergeCell ref="A1:G1"/>
    <mergeCell ref="B360:F360"/>
    <mergeCell ref="B167:C167"/>
    <mergeCell ref="B178:C178"/>
    <mergeCell ref="B45:C45"/>
    <mergeCell ref="B58:C58"/>
    <mergeCell ref="B80:C80"/>
    <mergeCell ref="B103:C103"/>
    <mergeCell ref="B134:C134"/>
    <mergeCell ref="B155:C155"/>
    <mergeCell ref="B199:F199"/>
    <mergeCell ref="B217:F217"/>
    <mergeCell ref="B264:F264"/>
    <mergeCell ref="B265:F265"/>
    <mergeCell ref="B389:F389"/>
    <mergeCell ref="B398:F398"/>
    <mergeCell ref="B408:F408"/>
    <mergeCell ref="B409:F409"/>
    <mergeCell ref="B411:F411"/>
    <mergeCell ref="B422:F422"/>
    <mergeCell ref="B450:F450"/>
    <mergeCell ref="B478:F478"/>
    <mergeCell ref="B500:F500"/>
    <mergeCell ref="D561:G561"/>
    <mergeCell ref="D562:G562"/>
    <mergeCell ref="D556:F556"/>
    <mergeCell ref="D558:F558"/>
    <mergeCell ref="B514:F514"/>
    <mergeCell ref="B532:F532"/>
    <mergeCell ref="B536:F536"/>
    <mergeCell ref="B545:F545"/>
  </mergeCells>
  <phoneticPr fontId="24" type="noConversion"/>
  <pageMargins left="0.7" right="0.7" top="0.75" bottom="0.75" header="0.3" footer="0.3"/>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Podsumowanie koszt</vt:lpstr>
      <vt:lpstr>Termomodernizacja</vt:lpstr>
      <vt:lpstr>Remont budynku</vt:lpstr>
      <vt:lpstr>'Podsumowanie koszt'!Obszar_wydruku</vt:lpstr>
      <vt:lpstr>'Remont budynku'!Obszar_wydruku</vt:lpstr>
      <vt:lpstr>Termomodernizacja!Obszar_wydruku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Bethke</dc:creator>
  <cp:lastModifiedBy>Dorota Bethke</cp:lastModifiedBy>
  <cp:lastPrinted>2019-11-13T09:44:20Z</cp:lastPrinted>
  <dcterms:created xsi:type="dcterms:W3CDTF">2019-05-02T06:34:14Z</dcterms:created>
  <dcterms:modified xsi:type="dcterms:W3CDTF">2020-01-14T12:48:00Z</dcterms:modified>
</cp:coreProperties>
</file>